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7656" tabRatio="845" firstSheet="1" activeTab="1"/>
  </bookViews>
  <sheets>
    <sheet name="DADOS DE ENTRADA" sheetId="958" state="hidden" r:id="rId1"/>
    <sheet name="QUADRO GERAL" sheetId="972" r:id="rId2"/>
    <sheet name="CURVA ABC" sheetId="1001" r:id="rId3"/>
    <sheet name="CRONOGRAMA" sheetId="997" r:id="rId4"/>
    <sheet name="01-Coleta domiciliar" sheetId="935" r:id="rId5"/>
    <sheet name="Comp. Aux. Caminhão Resv." sheetId="1005" r:id="rId6"/>
    <sheet name="03-Ecopontos" sheetId="1000" r:id="rId7"/>
    <sheet name="04-Coleta contetores " sheetId="1010" r:id="rId8"/>
    <sheet name="04-Implantação contetores" sheetId="1011" r:id="rId9"/>
    <sheet name="04-Composição auxiliar" sheetId="1013" r:id="rId10"/>
    <sheet name="06-Administração local" sheetId="1006" r:id="rId11"/>
  </sheets>
  <externalReferences>
    <externalReference r:id="rId12"/>
  </externalReferences>
  <definedNames>
    <definedName name="_xlnm.Print_Area" localSheetId="4">'01-Coleta domiciliar'!$A$1:$G$602</definedName>
    <definedName name="_xlnm.Print_Area" localSheetId="6">'03-Ecopontos'!$A$1:$G$412</definedName>
    <definedName name="_xlnm.Print_Area" localSheetId="7">'04-Coleta contetores '!$A$1:$G$490</definedName>
    <definedName name="_xlnm.Print_Area" localSheetId="9">'04-Composição auxiliar'!$A$1:$I$62</definedName>
    <definedName name="_xlnm.Print_Area" localSheetId="8">'04-Implantação contetores'!$A$1:$G$252</definedName>
    <definedName name="_xlnm.Print_Area" localSheetId="10">'06-Administração local'!$A$1:$G$453</definedName>
    <definedName name="_xlnm.Print_Area" localSheetId="5">'Comp. Aux. Caminhão Resv.'!$A$1:$G$596</definedName>
    <definedName name="_xlnm.Print_Area" localSheetId="2">'CURVA ABC'!$A$1:$F$32</definedName>
    <definedName name="_xlnm.Print_Area" localSheetId="0">'DADOS DE ENTRADA'!$A$1:$H$70</definedName>
    <definedName name="_xlnm.Print_Area" localSheetId="1">'QUADRO GERAL'!$A$1:$F$10</definedName>
    <definedName name="Excel_BuiltIn_Print_Area_16" localSheetId="10">#REF!</definedName>
    <definedName name="Excel_BuiltIn_Print_Area_16" localSheetId="3">#REF!</definedName>
    <definedName name="Excel_BuiltIn_Print_Area_16">#REF!</definedName>
    <definedName name="Excel_BuiltIn_Print_Area_17" localSheetId="10">#REF!</definedName>
    <definedName name="Excel_BuiltIn_Print_Area_17" localSheetId="3">#REF!</definedName>
    <definedName name="Excel_BuiltIn_Print_Area_17">#REF!</definedName>
  </definedNames>
  <calcPr calcId="152511"/>
</workbook>
</file>

<file path=xl/calcChain.xml><?xml version="1.0" encoding="utf-8"?>
<calcChain xmlns="http://schemas.openxmlformats.org/spreadsheetml/2006/main">
  <c r="E377" i="1010" l="1"/>
  <c r="E7" i="972"/>
  <c r="D25" i="1011"/>
  <c r="C4" i="1001" l="1"/>
  <c r="A3" i="935"/>
  <c r="C6" i="1001"/>
  <c r="C8" i="1001"/>
  <c r="F277" i="935"/>
  <c r="E451" i="935"/>
  <c r="E371" i="935"/>
  <c r="E440" i="935" s="1"/>
  <c r="D137" i="935"/>
  <c r="E55" i="935"/>
  <c r="D70" i="1006" l="1"/>
  <c r="D63" i="1006"/>
  <c r="D221" i="935"/>
  <c r="D222" i="935" s="1"/>
  <c r="D111" i="1006"/>
  <c r="D105" i="1006"/>
  <c r="D127" i="1010"/>
  <c r="D126" i="1010"/>
  <c r="D130" i="935"/>
  <c r="E11" i="935"/>
  <c r="B5" i="1001"/>
  <c r="E26" i="1011"/>
  <c r="H60" i="1013"/>
  <c r="H59" i="1013"/>
  <c r="H58" i="1013"/>
  <c r="H57" i="1013"/>
  <c r="H56" i="1013"/>
  <c r="H55" i="1013"/>
  <c r="H54" i="1013"/>
  <c r="H50" i="1013"/>
  <c r="H49" i="1013"/>
  <c r="H48" i="1013"/>
  <c r="H44" i="1013"/>
  <c r="H43" i="1013"/>
  <c r="H42" i="1013"/>
  <c r="H38" i="1013"/>
  <c r="H37" i="1013"/>
  <c r="H36" i="1013"/>
  <c r="H35" i="1013"/>
  <c r="H34" i="1013"/>
  <c r="H33" i="1013"/>
  <c r="H29" i="1013"/>
  <c r="H28" i="1013"/>
  <c r="H27" i="1013"/>
  <c r="H26" i="1013"/>
  <c r="H25" i="1013"/>
  <c r="H24" i="1013"/>
  <c r="H20" i="1013"/>
  <c r="H19" i="1013"/>
  <c r="H14" i="1013"/>
  <c r="H15" i="1013"/>
  <c r="H13" i="1013"/>
  <c r="H8" i="1013"/>
  <c r="H9" i="1013"/>
  <c r="E159" i="1010"/>
  <c r="F159" i="1010" s="1"/>
  <c r="E143" i="1000"/>
  <c r="E142" i="1000"/>
  <c r="E141" i="1000"/>
  <c r="E140" i="1000"/>
  <c r="E161" i="1010"/>
  <c r="E160" i="1010"/>
  <c r="E158" i="1010"/>
  <c r="F158" i="1010" s="1"/>
  <c r="E341" i="1006"/>
  <c r="E348" i="1010"/>
  <c r="E255" i="935"/>
  <c r="E254" i="935"/>
  <c r="E253" i="935"/>
  <c r="E252" i="935"/>
  <c r="C112" i="1006"/>
  <c r="C113" i="1006"/>
  <c r="C111" i="1006"/>
  <c r="C59" i="1006"/>
  <c r="C58" i="1006"/>
  <c r="C57" i="1006"/>
  <c r="B11" i="997"/>
  <c r="B25" i="997" s="1"/>
  <c r="B9" i="997"/>
  <c r="B23" i="997" s="1"/>
  <c r="E372" i="935"/>
  <c r="E374" i="935" s="1"/>
  <c r="A3" i="1011"/>
  <c r="E74" i="1011"/>
  <c r="E100" i="1011" s="1"/>
  <c r="E50" i="1011"/>
  <c r="E52" i="1011" s="1"/>
  <c r="F26" i="1011"/>
  <c r="E236" i="1011"/>
  <c r="E242" i="1011" s="1"/>
  <c r="E219" i="1011"/>
  <c r="G211" i="1011"/>
  <c r="F208" i="1011"/>
  <c r="F206" i="1011"/>
  <c r="C206" i="1011"/>
  <c r="C211" i="1011" s="1"/>
  <c r="F205" i="1011"/>
  <c r="C205" i="1011"/>
  <c r="F204" i="1011"/>
  <c r="C204" i="1011"/>
  <c r="F199" i="1011"/>
  <c r="F207" i="1011" s="1"/>
  <c r="D176" i="1011"/>
  <c r="D175" i="1011"/>
  <c r="F174" i="1011"/>
  <c r="F173" i="1011"/>
  <c r="E125" i="1011"/>
  <c r="E124" i="1011"/>
  <c r="E123" i="1011"/>
  <c r="E115" i="1011"/>
  <c r="E116" i="1011" s="1"/>
  <c r="E117" i="1011" s="1"/>
  <c r="E101" i="1011"/>
  <c r="E88" i="1011"/>
  <c r="D84" i="1011"/>
  <c r="D85" i="1011" s="1"/>
  <c r="E89" i="1011" s="1"/>
  <c r="E73" i="1011"/>
  <c r="E99" i="1011" s="1"/>
  <c r="D68" i="1011"/>
  <c r="D71" i="1011" s="1"/>
  <c r="E75" i="1011" s="1"/>
  <c r="E28" i="1011"/>
  <c r="F28" i="1011" s="1"/>
  <c r="C28" i="1011"/>
  <c r="E27" i="1011"/>
  <c r="F27" i="1011" s="1"/>
  <c r="C27" i="1011"/>
  <c r="A3" i="1010"/>
  <c r="E233" i="1010"/>
  <c r="E260" i="1010" s="1"/>
  <c r="E313" i="1010" s="1"/>
  <c r="D184" i="1010"/>
  <c r="E474" i="1010"/>
  <c r="E480" i="1010" s="1"/>
  <c r="E457" i="1010"/>
  <c r="G449" i="1010"/>
  <c r="F446" i="1010"/>
  <c r="F444" i="1010"/>
  <c r="C444" i="1010"/>
  <c r="C449" i="1010" s="1"/>
  <c r="F443" i="1010"/>
  <c r="C443" i="1010"/>
  <c r="F442" i="1010"/>
  <c r="C442" i="1010"/>
  <c r="F437" i="1010"/>
  <c r="F445" i="1010" s="1"/>
  <c r="D414" i="1010"/>
  <c r="D413" i="1010"/>
  <c r="F412" i="1010"/>
  <c r="F411" i="1010"/>
  <c r="E372" i="1010"/>
  <c r="E371" i="1010"/>
  <c r="E370" i="1010"/>
  <c r="E369" i="1010"/>
  <c r="E338" i="1010"/>
  <c r="E340" i="1010" s="1"/>
  <c r="E341" i="1010" s="1"/>
  <c r="E331" i="1010"/>
  <c r="E299" i="1010"/>
  <c r="E298" i="1010"/>
  <c r="E289" i="1010"/>
  <c r="E290" i="1010" s="1"/>
  <c r="E291" i="1010" s="1"/>
  <c r="E275" i="1010"/>
  <c r="E261" i="1010"/>
  <c r="E263" i="1010" s="1"/>
  <c r="E248" i="1010"/>
  <c r="D244" i="1010"/>
  <c r="D245" i="1010" s="1"/>
  <c r="E249" i="1010" s="1"/>
  <c r="D228" i="1010"/>
  <c r="D231" i="1010" s="1"/>
  <c r="E235" i="1010" s="1"/>
  <c r="E208" i="1010"/>
  <c r="E234" i="1010" s="1"/>
  <c r="F180" i="1010"/>
  <c r="F179" i="1010"/>
  <c r="F178" i="1010"/>
  <c r="F177" i="1010"/>
  <c r="E166" i="1010"/>
  <c r="F166" i="1010" s="1"/>
  <c r="C166" i="1010"/>
  <c r="E165" i="1010"/>
  <c r="F165" i="1010" s="1"/>
  <c r="C165" i="1010"/>
  <c r="F164" i="1010"/>
  <c r="C164" i="1010"/>
  <c r="F163" i="1010"/>
  <c r="C163" i="1010"/>
  <c r="F162" i="1010"/>
  <c r="C162" i="1010"/>
  <c r="F161" i="1010"/>
  <c r="C161" i="1010"/>
  <c r="F160" i="1010"/>
  <c r="C160" i="1010"/>
  <c r="C159" i="1010"/>
  <c r="C158" i="1010"/>
  <c r="F157" i="1010"/>
  <c r="C157" i="1010"/>
  <c r="F152" i="1010"/>
  <c r="C152" i="1010"/>
  <c r="F151" i="1010"/>
  <c r="C151" i="1010"/>
  <c r="F150" i="1010"/>
  <c r="C150" i="1010"/>
  <c r="F149" i="1010"/>
  <c r="C149" i="1010"/>
  <c r="D128" i="1010"/>
  <c r="E128" i="1010" s="1"/>
  <c r="E122" i="1010"/>
  <c r="D116" i="1010"/>
  <c r="E116" i="1010" s="1"/>
  <c r="E97" i="1010"/>
  <c r="E96" i="1010"/>
  <c r="E89" i="1010"/>
  <c r="E88" i="1010"/>
  <c r="D91" i="1010" s="1"/>
  <c r="E91" i="1010" s="1"/>
  <c r="D83" i="1010"/>
  <c r="D75" i="1010"/>
  <c r="D69" i="1010"/>
  <c r="D77" i="1010" s="1"/>
  <c r="D68" i="1010"/>
  <c r="D63" i="1010"/>
  <c r="E53" i="1010"/>
  <c r="E52" i="1010"/>
  <c r="C63" i="1010" s="1"/>
  <c r="C69" i="1010" s="1"/>
  <c r="E50" i="1010"/>
  <c r="E49" i="1010"/>
  <c r="C61" i="1010" s="1"/>
  <c r="E48" i="1010"/>
  <c r="E47" i="1010"/>
  <c r="E45" i="1010"/>
  <c r="E44" i="1010"/>
  <c r="E32" i="1010"/>
  <c r="E31" i="1010"/>
  <c r="E19" i="1010"/>
  <c r="F53" i="1013" l="1"/>
  <c r="H53" i="1013" s="1"/>
  <c r="F47" i="1013"/>
  <c r="H47" i="1013" s="1"/>
  <c r="E25" i="1011" s="1"/>
  <c r="F25" i="1011" s="1"/>
  <c r="F41" i="1013"/>
  <c r="H41" i="1013" s="1"/>
  <c r="E24" i="1011" s="1"/>
  <c r="F24" i="1011" s="1"/>
  <c r="F32" i="1013"/>
  <c r="H32" i="1013" s="1"/>
  <c r="E23" i="1011" s="1"/>
  <c r="F23" i="1011" s="1"/>
  <c r="F23" i="1013"/>
  <c r="H23" i="1013" s="1"/>
  <c r="E22" i="1011" s="1"/>
  <c r="F22" i="1011" s="1"/>
  <c r="F18" i="1013"/>
  <c r="H18" i="1013" s="1"/>
  <c r="E21" i="1011" s="1"/>
  <c r="F21" i="1011" s="1"/>
  <c r="F12" i="1013"/>
  <c r="H12" i="1013" s="1"/>
  <c r="E20" i="1011" s="1"/>
  <c r="F20" i="1011" s="1"/>
  <c r="F7" i="1013"/>
  <c r="H7" i="1013" s="1"/>
  <c r="E19" i="1011" s="1"/>
  <c r="F19" i="1011" s="1"/>
  <c r="E128" i="1011"/>
  <c r="E129" i="1011" s="1"/>
  <c r="E130" i="1011" s="1"/>
  <c r="E132" i="1011" s="1"/>
  <c r="E133" i="1011" s="1"/>
  <c r="F210" i="1011"/>
  <c r="F211" i="1011" s="1"/>
  <c r="E213" i="1011" s="1"/>
  <c r="E214" i="1011" s="1"/>
  <c r="E76" i="1011"/>
  <c r="E77" i="1011" s="1"/>
  <c r="E93" i="1011" s="1"/>
  <c r="E94" i="1011" s="1"/>
  <c r="F175" i="1011"/>
  <c r="E176" i="1011" s="1"/>
  <c r="F176" i="1011" s="1"/>
  <c r="F177" i="1011" s="1"/>
  <c r="E180" i="1011" s="1"/>
  <c r="E182" i="1011" s="1"/>
  <c r="E90" i="1011"/>
  <c r="E91" i="1011" s="1"/>
  <c r="E53" i="1011"/>
  <c r="E54" i="1011" s="1"/>
  <c r="E55" i="1011" s="1"/>
  <c r="E58" i="1011" s="1"/>
  <c r="E104" i="1011"/>
  <c r="E105" i="1011" s="1"/>
  <c r="E106" i="1011" s="1"/>
  <c r="E119" i="1011" s="1"/>
  <c r="E250" i="1010"/>
  <c r="E251" i="1010" s="1"/>
  <c r="F448" i="1010"/>
  <c r="F449" i="1010" s="1"/>
  <c r="E451" i="1010" s="1"/>
  <c r="E452" i="1010" s="1"/>
  <c r="E69" i="1010"/>
  <c r="E274" i="1010"/>
  <c r="E278" i="1010" s="1"/>
  <c r="E279" i="1010" s="1"/>
  <c r="E273" i="1010"/>
  <c r="C126" i="1010"/>
  <c r="F153" i="1010"/>
  <c r="E170" i="1010" s="1"/>
  <c r="E349" i="1010"/>
  <c r="E351" i="1010" s="1"/>
  <c r="F413" i="1010"/>
  <c r="E414" i="1010" s="1"/>
  <c r="F414" i="1010" s="1"/>
  <c r="F415" i="1010" s="1"/>
  <c r="E418" i="1010" s="1"/>
  <c r="E420" i="1010" s="1"/>
  <c r="E77" i="1010"/>
  <c r="E63" i="1010"/>
  <c r="C67" i="1010"/>
  <c r="C114" i="1010" s="1"/>
  <c r="D85" i="1010"/>
  <c r="E85" i="1010" s="1"/>
  <c r="F181" i="1010"/>
  <c r="E184" i="1010" s="1"/>
  <c r="F184" i="1010" s="1"/>
  <c r="F186" i="1010" s="1"/>
  <c r="F187" i="1010" s="1"/>
  <c r="C75" i="1010"/>
  <c r="E75" i="1010" s="1"/>
  <c r="D93" i="1010"/>
  <c r="E93" i="1010" s="1"/>
  <c r="E302" i="1010"/>
  <c r="E303" i="1010" s="1"/>
  <c r="F167" i="1010"/>
  <c r="C120" i="1010"/>
  <c r="C62" i="1010"/>
  <c r="D99" i="1010"/>
  <c r="E99" i="1010" s="1"/>
  <c r="E236" i="1010"/>
  <c r="E237" i="1010" s="1"/>
  <c r="E253" i="1010" s="1"/>
  <c r="E254" i="1010" s="1"/>
  <c r="E316" i="1010"/>
  <c r="E318" i="1010" s="1"/>
  <c r="E319" i="1010" s="1"/>
  <c r="E329" i="1010"/>
  <c r="E347" i="1010" s="1"/>
  <c r="C68" i="1010"/>
  <c r="C115" i="1010" s="1"/>
  <c r="C83" i="1010"/>
  <c r="E83" i="1010" s="1"/>
  <c r="E210" i="1010"/>
  <c r="E212" i="1010" s="1"/>
  <c r="E213" i="1010" s="1"/>
  <c r="E214" i="1010" s="1"/>
  <c r="E215" i="1010" s="1"/>
  <c r="E218" i="1010" s="1"/>
  <c r="E262" i="1010"/>
  <c r="E264" i="1010" s="1"/>
  <c r="E265" i="1010" s="1"/>
  <c r="E267" i="1010" s="1"/>
  <c r="E268" i="1010" s="1"/>
  <c r="C127" i="1010"/>
  <c r="E297" i="1010"/>
  <c r="C76" i="1010"/>
  <c r="D76" i="1010"/>
  <c r="C84" i="1010"/>
  <c r="C121" i="1010"/>
  <c r="E333" i="1010"/>
  <c r="E334" i="1010" s="1"/>
  <c r="E343" i="1010" s="1"/>
  <c r="D84" i="1010"/>
  <c r="D92" i="1010"/>
  <c r="E92" i="1010" s="1"/>
  <c r="F29" i="1011" l="1"/>
  <c r="E33" i="1011" s="1"/>
  <c r="E139" i="1011"/>
  <c r="E135" i="1011"/>
  <c r="E59" i="1011"/>
  <c r="E148" i="1011"/>
  <c r="E120" i="1011"/>
  <c r="E136" i="1011" s="1"/>
  <c r="E304" i="1010"/>
  <c r="E306" i="1010" s="1"/>
  <c r="E126" i="1010"/>
  <c r="D170" i="1010"/>
  <c r="F170" i="1010" s="1"/>
  <c r="E127" i="1010"/>
  <c r="D171" i="1010"/>
  <c r="E171" i="1010"/>
  <c r="E280" i="1010"/>
  <c r="E293" i="1010" s="1"/>
  <c r="E378" i="1010"/>
  <c r="E379" i="1010" s="1"/>
  <c r="E381" i="1010" s="1"/>
  <c r="E382" i="1010" s="1"/>
  <c r="E383" i="1010" s="1"/>
  <c r="E94" i="1010"/>
  <c r="E84" i="1010"/>
  <c r="E86" i="1010" s="1"/>
  <c r="D101" i="1010"/>
  <c r="E101" i="1010" s="1"/>
  <c r="E68" i="1010"/>
  <c r="E352" i="1010"/>
  <c r="E354" i="1010" s="1"/>
  <c r="E355" i="1010" s="1"/>
  <c r="E67" i="1010"/>
  <c r="E307" i="1010"/>
  <c r="E76" i="1010"/>
  <c r="E78" i="1010" s="1"/>
  <c r="D100" i="1010"/>
  <c r="E100" i="1010" s="1"/>
  <c r="E344" i="1010"/>
  <c r="E245" i="1011" l="1"/>
  <c r="E140" i="1011"/>
  <c r="E149" i="1011"/>
  <c r="E153" i="1011" s="1"/>
  <c r="E309" i="1010"/>
  <c r="E102" i="1010"/>
  <c r="E129" i="1010"/>
  <c r="E70" i="1010"/>
  <c r="F171" i="1010"/>
  <c r="F172" i="1010" s="1"/>
  <c r="F173" i="1010" s="1"/>
  <c r="E294" i="1010"/>
  <c r="E310" i="1010" s="1"/>
  <c r="E361" i="1010"/>
  <c r="E362" i="1010" s="1"/>
  <c r="E322" i="1010"/>
  <c r="E219" i="1010"/>
  <c r="E191" i="1010" l="1"/>
  <c r="E193" i="1010" s="1"/>
  <c r="E385" i="1010"/>
  <c r="E323" i="1010"/>
  <c r="E154" i="1011" l="1"/>
  <c r="E158" i="1011"/>
  <c r="E386" i="1010"/>
  <c r="E389" i="1010"/>
  <c r="E164" i="1011" l="1"/>
  <c r="E246" i="1011"/>
  <c r="E249" i="1011" s="1"/>
  <c r="E390" i="1010"/>
  <c r="E394" i="1010"/>
  <c r="E396" i="1010" s="1"/>
  <c r="E251" i="1011" l="1"/>
  <c r="D7" i="972" s="1"/>
  <c r="F7" i="972" s="1"/>
  <c r="C5" i="1001" s="1"/>
  <c r="B8" i="1001"/>
  <c r="E251" i="1006"/>
  <c r="E263" i="1006" s="1"/>
  <c r="E282" i="1006" s="1"/>
  <c r="E250" i="1006"/>
  <c r="E262" i="1006" s="1"/>
  <c r="E281" i="1006" s="1"/>
  <c r="D112" i="1006"/>
  <c r="D113" i="1006" s="1"/>
  <c r="D64" i="1006"/>
  <c r="E9" i="997" l="1"/>
  <c r="D100" i="1006"/>
  <c r="D65" i="1006"/>
  <c r="D99" i="1006"/>
  <c r="E443" i="1006"/>
  <c r="G412" i="1006"/>
  <c r="F409" i="1006"/>
  <c r="F407" i="1006"/>
  <c r="C407" i="1006"/>
  <c r="C412" i="1006" s="1"/>
  <c r="C406" i="1006"/>
  <c r="C405" i="1006"/>
  <c r="F400" i="1006"/>
  <c r="F408" i="1006" s="1"/>
  <c r="D377" i="1006"/>
  <c r="D376" i="1006"/>
  <c r="F375" i="1006"/>
  <c r="F376" i="1006" s="1"/>
  <c r="E377" i="1006" s="1"/>
  <c r="F377" i="1006" s="1"/>
  <c r="F378" i="1006" s="1"/>
  <c r="E381" i="1006" s="1"/>
  <c r="E383" i="1006" s="1"/>
  <c r="F374" i="1006"/>
  <c r="E335" i="1006"/>
  <c r="E334" i="1006"/>
  <c r="E333" i="1006"/>
  <c r="E332" i="1006"/>
  <c r="E323" i="1006"/>
  <c r="E314" i="1006"/>
  <c r="E315" i="1006" s="1"/>
  <c r="E317" i="1006" s="1"/>
  <c r="E296" i="1006"/>
  <c r="E295" i="1006"/>
  <c r="E283" i="1006"/>
  <c r="E286" i="1006" s="1"/>
  <c r="E287" i="1006" s="1"/>
  <c r="E272" i="1006"/>
  <c r="E273" i="1006" s="1"/>
  <c r="E274" i="1006" s="1"/>
  <c r="E265" i="1006"/>
  <c r="D246" i="1006"/>
  <c r="D245" i="1006"/>
  <c r="E231" i="1006"/>
  <c r="E229" i="1006"/>
  <c r="E216" i="1006"/>
  <c r="E214" i="1006"/>
  <c r="E202" i="1006"/>
  <c r="E200" i="1006"/>
  <c r="E174" i="1006"/>
  <c r="F174" i="1006" s="1"/>
  <c r="E173" i="1006"/>
  <c r="F173" i="1006" s="1"/>
  <c r="F172" i="1006"/>
  <c r="E171" i="1006"/>
  <c r="F171" i="1006" s="1"/>
  <c r="F170" i="1006"/>
  <c r="F169" i="1006"/>
  <c r="F168" i="1006"/>
  <c r="F167" i="1006"/>
  <c r="E166" i="1006"/>
  <c r="F166" i="1006" s="1"/>
  <c r="E165" i="1006"/>
  <c r="F165" i="1006" s="1"/>
  <c r="E164" i="1006"/>
  <c r="F164" i="1006" s="1"/>
  <c r="E163" i="1006"/>
  <c r="F163" i="1006" s="1"/>
  <c r="F152" i="1006"/>
  <c r="F151" i="1006"/>
  <c r="F150" i="1006"/>
  <c r="F149" i="1006"/>
  <c r="F148" i="1006"/>
  <c r="F147" i="1006"/>
  <c r="F146" i="1006"/>
  <c r="F145" i="1006"/>
  <c r="F144" i="1006"/>
  <c r="F143" i="1006"/>
  <c r="F138" i="1006"/>
  <c r="F137" i="1006"/>
  <c r="F136" i="1006"/>
  <c r="F135" i="1006"/>
  <c r="F134" i="1006"/>
  <c r="F133" i="1006"/>
  <c r="E113" i="1006"/>
  <c r="E112" i="1006"/>
  <c r="E111" i="1006"/>
  <c r="D107" i="1006"/>
  <c r="D106" i="1006"/>
  <c r="E82" i="1006"/>
  <c r="E81" i="1006"/>
  <c r="D84" i="1006" s="1"/>
  <c r="C78" i="1006"/>
  <c r="E78" i="1006" s="1"/>
  <c r="E66" i="1006"/>
  <c r="D66" i="1006"/>
  <c r="D59" i="1006"/>
  <c r="E59" i="1006" s="1"/>
  <c r="E58" i="1006"/>
  <c r="E57" i="1006"/>
  <c r="C63" i="1006"/>
  <c r="C99" i="1006" s="1"/>
  <c r="C105" i="1006" s="1"/>
  <c r="E50" i="1006"/>
  <c r="E49" i="1006"/>
  <c r="E48" i="1006"/>
  <c r="C71" i="1006"/>
  <c r="E71" i="1006" s="1"/>
  <c r="E45" i="1006"/>
  <c r="C84" i="1006" s="1"/>
  <c r="F30" i="1006"/>
  <c r="E29" i="1006"/>
  <c r="E22" i="1006"/>
  <c r="E28" i="1006" s="1"/>
  <c r="E30" i="1006" s="1"/>
  <c r="E9" i="1006"/>
  <c r="E75" i="1006" s="1"/>
  <c r="F9" i="997" l="1"/>
  <c r="G9" i="997" s="1"/>
  <c r="H9" i="997" s="1"/>
  <c r="I9" i="997" s="1"/>
  <c r="J9" i="997" s="1"/>
  <c r="K9" i="997" s="1"/>
  <c r="E23" i="997"/>
  <c r="F23" i="997" s="1"/>
  <c r="G23" i="997" s="1"/>
  <c r="H23" i="997" s="1"/>
  <c r="I23" i="997" s="1"/>
  <c r="J23" i="997" s="1"/>
  <c r="K23" i="997" s="1"/>
  <c r="F175" i="1006"/>
  <c r="E178" i="1006" s="1"/>
  <c r="F178" i="1006" s="1"/>
  <c r="F179" i="1006" s="1"/>
  <c r="F180" i="1006" s="1"/>
  <c r="D85" i="1006"/>
  <c r="F139" i="1006"/>
  <c r="E156" i="1006" s="1"/>
  <c r="F156" i="1006" s="1"/>
  <c r="D101" i="1006"/>
  <c r="E84" i="1006"/>
  <c r="C77" i="1006"/>
  <c r="E77" i="1006" s="1"/>
  <c r="E79" i="1006" s="1"/>
  <c r="D248" i="1006"/>
  <c r="E252" i="1006" s="1"/>
  <c r="E253" i="1006" s="1"/>
  <c r="E255" i="1006" s="1"/>
  <c r="E256" i="1006" s="1"/>
  <c r="E204" i="1006"/>
  <c r="E205" i="1006" s="1"/>
  <c r="E206" i="1006" s="1"/>
  <c r="E207" i="1006" s="1"/>
  <c r="F411" i="1006"/>
  <c r="F412" i="1006" s="1"/>
  <c r="E414" i="1006" s="1"/>
  <c r="E415" i="1006" s="1"/>
  <c r="C85" i="1006"/>
  <c r="E233" i="1006"/>
  <c r="E234" i="1006" s="1"/>
  <c r="E235" i="1006" s="1"/>
  <c r="E236" i="1006" s="1"/>
  <c r="E297" i="1006"/>
  <c r="E299" i="1006" s="1"/>
  <c r="E300" i="1006" s="1"/>
  <c r="E288" i="1006"/>
  <c r="E290" i="1006" s="1"/>
  <c r="E340" i="1006"/>
  <c r="E342" i="1006" s="1"/>
  <c r="E344" i="1006" s="1"/>
  <c r="E345" i="1006" s="1"/>
  <c r="E346" i="1006" s="1"/>
  <c r="E218" i="1006"/>
  <c r="E219" i="1006" s="1"/>
  <c r="E220" i="1006" s="1"/>
  <c r="E221" i="1006" s="1"/>
  <c r="E271" i="1006"/>
  <c r="F153" i="1006"/>
  <c r="E157" i="1006" s="1"/>
  <c r="F157" i="1006" s="1"/>
  <c r="F158" i="1006" s="1"/>
  <c r="E114" i="1006"/>
  <c r="E60" i="1006"/>
  <c r="E318" i="1006"/>
  <c r="E63" i="1006"/>
  <c r="C70" i="1006"/>
  <c r="E70" i="1006" s="1"/>
  <c r="E72" i="1006" s="1"/>
  <c r="E264" i="1006"/>
  <c r="E266" i="1006" s="1"/>
  <c r="C65" i="1006"/>
  <c r="E99" i="1006"/>
  <c r="E105" i="1006"/>
  <c r="C64" i="1006"/>
  <c r="E74" i="1006"/>
  <c r="E85" i="1006" l="1"/>
  <c r="E86" i="1006"/>
  <c r="E267" i="1006"/>
  <c r="E276" i="1006" s="1"/>
  <c r="E238" i="1006"/>
  <c r="E239" i="1006" s="1"/>
  <c r="E324" i="1006"/>
  <c r="E325" i="1006" s="1"/>
  <c r="E291" i="1006"/>
  <c r="E65" i="1006"/>
  <c r="C101" i="1006"/>
  <c r="E64" i="1006"/>
  <c r="C100" i="1006"/>
  <c r="F159" i="1006"/>
  <c r="E184" i="1006"/>
  <c r="E186" i="1006" s="1"/>
  <c r="E277" i="1006" l="1"/>
  <c r="E303" i="1006"/>
  <c r="E304" i="1006" s="1"/>
  <c r="E348" i="1006"/>
  <c r="E349" i="1006" s="1"/>
  <c r="E67" i="1006"/>
  <c r="E88" i="1006" s="1"/>
  <c r="D91" i="1006" s="1"/>
  <c r="E91" i="1006" s="1"/>
  <c r="E92" i="1006" s="1"/>
  <c r="E94" i="1006" s="1"/>
  <c r="C107" i="1006"/>
  <c r="E107" i="1006" s="1"/>
  <c r="E101" i="1006"/>
  <c r="C106" i="1006"/>
  <c r="E106" i="1006" s="1"/>
  <c r="E100" i="1006"/>
  <c r="E102" i="1006" l="1"/>
  <c r="E108" i="1006"/>
  <c r="E352" i="1006"/>
  <c r="E353" i="1006" s="1"/>
  <c r="E116" i="1006" l="1"/>
  <c r="E118" i="1006" s="1"/>
  <c r="E122" i="1006" s="1"/>
  <c r="E124" i="1006" s="1"/>
  <c r="E357" i="1006"/>
  <c r="E359" i="1006" s="1"/>
  <c r="E364" i="1006" l="1"/>
  <c r="E366" i="1006" s="1"/>
  <c r="E581" i="1005"/>
  <c r="E587" i="1005" s="1"/>
  <c r="E564" i="1005"/>
  <c r="G556" i="1005"/>
  <c r="F553" i="1005"/>
  <c r="F551" i="1005"/>
  <c r="C551" i="1005"/>
  <c r="C556" i="1005" s="1"/>
  <c r="F550" i="1005"/>
  <c r="C550" i="1005"/>
  <c r="F549" i="1005"/>
  <c r="C549" i="1005"/>
  <c r="F544" i="1005"/>
  <c r="F552" i="1005" s="1"/>
  <c r="F555" i="1005" s="1"/>
  <c r="F556" i="1005" s="1"/>
  <c r="D521" i="1005"/>
  <c r="D520" i="1005"/>
  <c r="F519" i="1005"/>
  <c r="F520" i="1005" s="1"/>
  <c r="E521" i="1005" s="1"/>
  <c r="F518" i="1005"/>
  <c r="E479" i="1005"/>
  <c r="E478" i="1005"/>
  <c r="E477" i="1005"/>
  <c r="E484" i="1005" s="1"/>
  <c r="E476" i="1005"/>
  <c r="E445" i="1005"/>
  <c r="E447" i="1005" s="1"/>
  <c r="E448" i="1005" s="1"/>
  <c r="E438" i="1005"/>
  <c r="E440" i="1005" s="1"/>
  <c r="E441" i="1005" s="1"/>
  <c r="E406" i="1005"/>
  <c r="E405" i="1005"/>
  <c r="E409" i="1005" s="1"/>
  <c r="E410" i="1005" s="1"/>
  <c r="E396" i="1005"/>
  <c r="E397" i="1005" s="1"/>
  <c r="E398" i="1005" s="1"/>
  <c r="E382" i="1005"/>
  <c r="E368" i="1005"/>
  <c r="E370" i="1005" s="1"/>
  <c r="E355" i="1005"/>
  <c r="D351" i="1005"/>
  <c r="D352" i="1005" s="1"/>
  <c r="E356" i="1005" s="1"/>
  <c r="E340" i="1005"/>
  <c r="E380" i="1005" s="1"/>
  <c r="D338" i="1005"/>
  <c r="E342" i="1005" s="1"/>
  <c r="D335" i="1005"/>
  <c r="E319" i="1005"/>
  <c r="E316" i="1005"/>
  <c r="E303" i="1005"/>
  <c r="E341" i="1005" s="1"/>
  <c r="F275" i="1005"/>
  <c r="F274" i="1005"/>
  <c r="F273" i="1005"/>
  <c r="F272" i="1005"/>
  <c r="E259" i="1005"/>
  <c r="F259" i="1005" s="1"/>
  <c r="C259" i="1005"/>
  <c r="E258" i="1005"/>
  <c r="F258" i="1005" s="1"/>
  <c r="C258" i="1005"/>
  <c r="F257" i="1005"/>
  <c r="C257" i="1005"/>
  <c r="F256" i="1005"/>
  <c r="C256" i="1005"/>
  <c r="F255" i="1005"/>
  <c r="C255" i="1005"/>
  <c r="F254" i="1005"/>
  <c r="C254" i="1005"/>
  <c r="F253" i="1005"/>
  <c r="C253" i="1005"/>
  <c r="F252" i="1005"/>
  <c r="C252" i="1005"/>
  <c r="F251" i="1005"/>
  <c r="C251" i="1005"/>
  <c r="F250" i="1005"/>
  <c r="C250" i="1005"/>
  <c r="F245" i="1005"/>
  <c r="C245" i="1005"/>
  <c r="F244" i="1005"/>
  <c r="C244" i="1005"/>
  <c r="F243" i="1005"/>
  <c r="C243" i="1005"/>
  <c r="F242" i="1005"/>
  <c r="C242" i="1005"/>
  <c r="E222" i="1005"/>
  <c r="D222" i="1005"/>
  <c r="D216" i="1005"/>
  <c r="E216" i="1005" s="1"/>
  <c r="D215" i="1005"/>
  <c r="D214" i="1005"/>
  <c r="D210" i="1005"/>
  <c r="E210" i="1005" s="1"/>
  <c r="E191" i="1005"/>
  <c r="E190" i="1005"/>
  <c r="E183" i="1005"/>
  <c r="E182" i="1005"/>
  <c r="E175" i="1005"/>
  <c r="E174" i="1005"/>
  <c r="E159" i="1005"/>
  <c r="D161" i="1005" s="1"/>
  <c r="E158" i="1005"/>
  <c r="D155" i="1005"/>
  <c r="E155" i="1005" s="1"/>
  <c r="D153" i="1005"/>
  <c r="D149" i="1005"/>
  <c r="E149" i="1005" s="1"/>
  <c r="D148" i="1005"/>
  <c r="D147" i="1005"/>
  <c r="D136" i="1005"/>
  <c r="E136" i="1005" s="1"/>
  <c r="E130" i="1005"/>
  <c r="D124" i="1005"/>
  <c r="E124" i="1005" s="1"/>
  <c r="E105" i="1005"/>
  <c r="E104" i="1005"/>
  <c r="E97" i="1005"/>
  <c r="E96" i="1005"/>
  <c r="D99" i="1005" s="1"/>
  <c r="E99" i="1005" s="1"/>
  <c r="D93" i="1005"/>
  <c r="E93" i="1005" s="1"/>
  <c r="D92" i="1005"/>
  <c r="D91" i="1005"/>
  <c r="D83" i="1005"/>
  <c r="D77" i="1005"/>
  <c r="D101" i="1005" s="1"/>
  <c r="E101" i="1005" s="1"/>
  <c r="D76" i="1005"/>
  <c r="D84" i="1005" s="1"/>
  <c r="D71" i="1005"/>
  <c r="H70" i="1005"/>
  <c r="D122" i="1005" s="1"/>
  <c r="E61" i="1005"/>
  <c r="D266" i="1005" s="1"/>
  <c r="E60" i="1005"/>
  <c r="C71" i="1005" s="1"/>
  <c r="C77" i="1005" s="1"/>
  <c r="E56" i="1005"/>
  <c r="D265" i="1005" s="1"/>
  <c r="E55" i="1005"/>
  <c r="C214" i="1005" s="1"/>
  <c r="E53" i="1005"/>
  <c r="C129" i="1005" s="1"/>
  <c r="E129" i="1005" s="1"/>
  <c r="E52" i="1005"/>
  <c r="C69" i="1005" s="1"/>
  <c r="E69" i="1005" s="1"/>
  <c r="E51" i="1005"/>
  <c r="E50" i="1005"/>
  <c r="E48" i="1005"/>
  <c r="E47" i="1005"/>
  <c r="E33" i="1005"/>
  <c r="E32" i="1005"/>
  <c r="E8" i="1005"/>
  <c r="E585" i="935"/>
  <c r="E398" i="1000" s="1"/>
  <c r="B7" i="1001"/>
  <c r="A3" i="1000"/>
  <c r="F152" i="1000"/>
  <c r="D152" i="1000"/>
  <c r="D110" i="1000"/>
  <c r="D111" i="1000" s="1"/>
  <c r="C58" i="1000"/>
  <c r="C59" i="1000"/>
  <c r="C65" i="1000" s="1"/>
  <c r="C99" i="1000" s="1"/>
  <c r="C105" i="1000" s="1"/>
  <c r="C111" i="1000" s="1"/>
  <c r="C57" i="1000"/>
  <c r="E407" i="1000"/>
  <c r="E403" i="1000"/>
  <c r="E402" i="1000"/>
  <c r="E401" i="1000"/>
  <c r="E400" i="1000"/>
  <c r="E399" i="1000"/>
  <c r="E397" i="1000"/>
  <c r="E396" i="1000"/>
  <c r="E395" i="1000"/>
  <c r="G375" i="1000"/>
  <c r="C374" i="1000"/>
  <c r="F372" i="1000"/>
  <c r="F371" i="1000"/>
  <c r="F370" i="1000"/>
  <c r="C370" i="1000"/>
  <c r="C369" i="1000"/>
  <c r="C368" i="1000"/>
  <c r="D340" i="1000"/>
  <c r="D339" i="1000"/>
  <c r="F338" i="1000"/>
  <c r="F337" i="1000"/>
  <c r="E304" i="1000"/>
  <c r="E298" i="1000"/>
  <c r="E297" i="1000"/>
  <c r="E296" i="1000"/>
  <c r="E295" i="1000"/>
  <c r="E264" i="1000"/>
  <c r="E276" i="1000" s="1"/>
  <c r="E263" i="1000"/>
  <c r="E248" i="1000"/>
  <c r="E247" i="1000"/>
  <c r="E235" i="1000"/>
  <c r="E222" i="1000"/>
  <c r="E224" i="1000" s="1"/>
  <c r="E209" i="1000"/>
  <c r="E221" i="1000" s="1"/>
  <c r="E233" i="1000" s="1"/>
  <c r="E262" i="1000" s="1"/>
  <c r="E274" i="1000" s="1"/>
  <c r="D206" i="1000"/>
  <c r="D205" i="1000"/>
  <c r="D204" i="1000"/>
  <c r="E189" i="1000"/>
  <c r="E210" i="1000" s="1"/>
  <c r="D166" i="1000"/>
  <c r="F162" i="1000"/>
  <c r="F161" i="1000"/>
  <c r="F160" i="1000"/>
  <c r="F159" i="1000"/>
  <c r="F158" i="1000"/>
  <c r="F146" i="1000"/>
  <c r="C146" i="1000"/>
  <c r="F145" i="1000"/>
  <c r="C145" i="1000"/>
  <c r="F144" i="1000"/>
  <c r="C144" i="1000"/>
  <c r="F143" i="1000"/>
  <c r="C143" i="1000"/>
  <c r="C142" i="1000"/>
  <c r="C141" i="1000"/>
  <c r="C140" i="1000"/>
  <c r="F139" i="1000"/>
  <c r="C139" i="1000"/>
  <c r="F141" i="1000"/>
  <c r="C134" i="1000"/>
  <c r="F142" i="1000"/>
  <c r="C133" i="1000"/>
  <c r="F132" i="1000"/>
  <c r="C132" i="1000"/>
  <c r="F140" i="1000"/>
  <c r="C131" i="1000"/>
  <c r="D109" i="1000"/>
  <c r="D103" i="1000"/>
  <c r="D104" i="1000" s="1"/>
  <c r="E81" i="1000"/>
  <c r="E80" i="1000"/>
  <c r="E74" i="1000"/>
  <c r="E73" i="1000"/>
  <c r="D63" i="1000"/>
  <c r="D76" i="1000" s="1"/>
  <c r="D58" i="1000"/>
  <c r="D57" i="1000"/>
  <c r="E47" i="1000"/>
  <c r="E46" i="1000"/>
  <c r="E45" i="1000"/>
  <c r="F32" i="1000"/>
  <c r="E31" i="1000"/>
  <c r="E24" i="1000"/>
  <c r="E30" i="1000" s="1"/>
  <c r="E23" i="1000"/>
  <c r="F276" i="1005" l="1"/>
  <c r="E279" i="1005" s="1"/>
  <c r="F279" i="1005" s="1"/>
  <c r="F281" i="1005" s="1"/>
  <c r="F282" i="1005" s="1"/>
  <c r="E446" i="1006"/>
  <c r="E449" i="1006" s="1"/>
  <c r="E452" i="1006" s="1"/>
  <c r="D8" i="972" s="1"/>
  <c r="F8" i="972" s="1"/>
  <c r="E59" i="1000"/>
  <c r="E111" i="1000"/>
  <c r="D162" i="1005"/>
  <c r="E162" i="1005" s="1"/>
  <c r="E305" i="1005"/>
  <c r="E450" i="1005"/>
  <c r="E451" i="1005" s="1"/>
  <c r="E369" i="1005"/>
  <c r="E558" i="1005"/>
  <c r="E559" i="1005" s="1"/>
  <c r="E343" i="1005"/>
  <c r="E344" i="1005" s="1"/>
  <c r="E360" i="1005" s="1"/>
  <c r="E361" i="1005" s="1"/>
  <c r="F246" i="1005"/>
  <c r="E266" i="1005" s="1"/>
  <c r="F266" i="1005" s="1"/>
  <c r="E307" i="1005"/>
  <c r="E308" i="1005" s="1"/>
  <c r="E309" i="1005" s="1"/>
  <c r="E310" i="1005" s="1"/>
  <c r="E367" i="1005"/>
  <c r="E420" i="1005" s="1"/>
  <c r="E423" i="1005" s="1"/>
  <c r="E425" i="1005" s="1"/>
  <c r="E426" i="1005" s="1"/>
  <c r="C154" i="1005"/>
  <c r="F260" i="1005"/>
  <c r="E265" i="1005" s="1"/>
  <c r="F265" i="1005" s="1"/>
  <c r="D107" i="1005"/>
  <c r="E107" i="1005" s="1"/>
  <c r="C76" i="1005"/>
  <c r="C123" i="1005" s="1"/>
  <c r="C84" i="1005"/>
  <c r="E84" i="1005" s="1"/>
  <c r="C70" i="1005"/>
  <c r="E70" i="1005" s="1"/>
  <c r="C75" i="1005"/>
  <c r="C122" i="1005" s="1"/>
  <c r="E122" i="1005" s="1"/>
  <c r="E456" i="1005"/>
  <c r="E485" i="1005" s="1"/>
  <c r="E458" i="1005"/>
  <c r="E486" i="1005"/>
  <c r="E488" i="1005" s="1"/>
  <c r="E489" i="1005" s="1"/>
  <c r="E490" i="1005" s="1"/>
  <c r="D185" i="1005"/>
  <c r="E185" i="1005" s="1"/>
  <c r="F521" i="1005"/>
  <c r="F522" i="1005" s="1"/>
  <c r="E525" i="1005" s="1"/>
  <c r="E527" i="1005" s="1"/>
  <c r="E357" i="1005"/>
  <c r="E358" i="1005" s="1"/>
  <c r="E214" i="1005"/>
  <c r="C220" i="1005"/>
  <c r="E220" i="1005" s="1"/>
  <c r="D177" i="1005"/>
  <c r="E177" i="1005" s="1"/>
  <c r="E71" i="1005"/>
  <c r="E371" i="1005"/>
  <c r="H72" i="1005"/>
  <c r="D123" i="1005" s="1"/>
  <c r="E123" i="1005" s="1"/>
  <c r="E77" i="1005"/>
  <c r="D85" i="1005"/>
  <c r="D100" i="1005"/>
  <c r="E100" i="1005" s="1"/>
  <c r="E102" i="1005" s="1"/>
  <c r="D154" i="1005"/>
  <c r="H155" i="1005" s="1"/>
  <c r="D163" i="1005"/>
  <c r="C215" i="1005"/>
  <c r="C221" i="1005" s="1"/>
  <c r="E221" i="1005" s="1"/>
  <c r="C83" i="1005"/>
  <c r="E83" i="1005" s="1"/>
  <c r="C134" i="1005"/>
  <c r="E134" i="1005" s="1"/>
  <c r="H154" i="1005"/>
  <c r="D208" i="1005" s="1"/>
  <c r="C161" i="1005"/>
  <c r="C208" i="1005" s="1"/>
  <c r="E318" i="1005"/>
  <c r="E320" i="1005" s="1"/>
  <c r="E321" i="1005" s="1"/>
  <c r="E322" i="1005" s="1"/>
  <c r="E323" i="1005" s="1"/>
  <c r="E381" i="1005"/>
  <c r="E385" i="1005" s="1"/>
  <c r="E386" i="1005" s="1"/>
  <c r="E387" i="1005" s="1"/>
  <c r="E400" i="1005" s="1"/>
  <c r="E58" i="1005"/>
  <c r="D263" i="1005" s="1"/>
  <c r="C91" i="1005"/>
  <c r="E91" i="1005" s="1"/>
  <c r="C147" i="1005"/>
  <c r="E147" i="1005" s="1"/>
  <c r="C169" i="1005"/>
  <c r="E59" i="1005"/>
  <c r="D264" i="1005" s="1"/>
  <c r="C128" i="1005"/>
  <c r="E128" i="1005" s="1"/>
  <c r="E131" i="1005" s="1"/>
  <c r="C135" i="1005"/>
  <c r="E135" i="1005" s="1"/>
  <c r="C153" i="1005"/>
  <c r="D169" i="1005"/>
  <c r="E404" i="1005"/>
  <c r="E411" i="1005" s="1"/>
  <c r="E413" i="1005" s="1"/>
  <c r="E76" i="1005"/>
  <c r="C162" i="1005"/>
  <c r="C209" i="1005" s="1"/>
  <c r="C92" i="1005"/>
  <c r="E92" i="1005" s="1"/>
  <c r="C148" i="1005"/>
  <c r="E148" i="1005" s="1"/>
  <c r="E153" i="1005"/>
  <c r="C170" i="1005"/>
  <c r="E32" i="1000"/>
  <c r="E249" i="1000"/>
  <c r="E251" i="1000" s="1"/>
  <c r="E252" i="1000" s="1"/>
  <c r="C375" i="1000"/>
  <c r="E49" i="1000"/>
  <c r="D151" i="1000" s="1"/>
  <c r="E303" i="1000"/>
  <c r="E305" i="1000" s="1"/>
  <c r="F147" i="1000"/>
  <c r="E151" i="1000" s="1"/>
  <c r="E191" i="1000"/>
  <c r="E193" i="1000" s="1"/>
  <c r="E194" i="1000" s="1"/>
  <c r="E195" i="1000" s="1"/>
  <c r="E196" i="1000" s="1"/>
  <c r="E198" i="1000" s="1"/>
  <c r="E199" i="1000" s="1"/>
  <c r="E266" i="1000"/>
  <c r="E267" i="1000" s="1"/>
  <c r="E269" i="1000" s="1"/>
  <c r="E270" i="1000" s="1"/>
  <c r="F339" i="1000"/>
  <c r="E340" i="1000" s="1"/>
  <c r="F340" i="1000" s="1"/>
  <c r="F341" i="1000" s="1"/>
  <c r="E344" i="1000" s="1"/>
  <c r="E346" i="1000" s="1"/>
  <c r="F374" i="1000"/>
  <c r="C69" i="1000"/>
  <c r="E69" i="1000" s="1"/>
  <c r="E57" i="1000"/>
  <c r="C70" i="1000"/>
  <c r="E70" i="1000" s="1"/>
  <c r="D207" i="1000"/>
  <c r="E211" i="1000" s="1"/>
  <c r="E212" i="1000" s="1"/>
  <c r="E214" i="1000" s="1"/>
  <c r="E215" i="1000" s="1"/>
  <c r="E404" i="1000"/>
  <c r="C63" i="1000"/>
  <c r="F163" i="1000"/>
  <c r="E166" i="1000" s="1"/>
  <c r="F166" i="1000" s="1"/>
  <c r="F167" i="1000" s="1"/>
  <c r="F168" i="1000" s="1"/>
  <c r="F375" i="1000"/>
  <c r="E234" i="1000"/>
  <c r="E238" i="1000" s="1"/>
  <c r="E239" i="1000" s="1"/>
  <c r="E240" i="1000" s="1"/>
  <c r="E242" i="1000" s="1"/>
  <c r="E287" i="1000" s="1"/>
  <c r="D83" i="1000"/>
  <c r="E83" i="1000" s="1"/>
  <c r="E76" i="1000"/>
  <c r="F131" i="1000"/>
  <c r="E223" i="1000"/>
  <c r="E225" i="1000" s="1"/>
  <c r="E226" i="1000" s="1"/>
  <c r="E228" i="1000" s="1"/>
  <c r="E229" i="1000" s="1"/>
  <c r="E58" i="1000"/>
  <c r="C64" i="1000"/>
  <c r="D105" i="1000"/>
  <c r="E105" i="1000" s="1"/>
  <c r="F134" i="1000"/>
  <c r="F133" i="1000"/>
  <c r="E48" i="1000"/>
  <c r="D150" i="1000" s="1"/>
  <c r="E11" i="997" l="1"/>
  <c r="F11" i="997" s="1"/>
  <c r="F151" i="1000"/>
  <c r="E325" i="1005"/>
  <c r="E326" i="1005" s="1"/>
  <c r="E72" i="1005"/>
  <c r="E263" i="1005"/>
  <c r="E372" i="1005"/>
  <c r="E374" i="1005" s="1"/>
  <c r="E375" i="1005" s="1"/>
  <c r="E436" i="1005"/>
  <c r="E454" i="1005" s="1"/>
  <c r="E459" i="1005" s="1"/>
  <c r="E461" i="1005" s="1"/>
  <c r="E462" i="1005" s="1"/>
  <c r="E264" i="1005"/>
  <c r="E208" i="1005"/>
  <c r="E223" i="1005"/>
  <c r="E125" i="1005"/>
  <c r="E75" i="1005"/>
  <c r="E78" i="1005" s="1"/>
  <c r="E416" i="1005"/>
  <c r="E414" i="1005"/>
  <c r="F263" i="1005"/>
  <c r="D171" i="1005"/>
  <c r="E163" i="1005"/>
  <c r="D187" i="1005"/>
  <c r="E187" i="1005" s="1"/>
  <c r="D179" i="1005"/>
  <c r="E179" i="1005" s="1"/>
  <c r="D170" i="1005"/>
  <c r="E154" i="1005"/>
  <c r="E156" i="1005" s="1"/>
  <c r="D186" i="1005"/>
  <c r="E186" i="1005" s="1"/>
  <c r="D178" i="1005"/>
  <c r="E178" i="1005" s="1"/>
  <c r="F264" i="1005"/>
  <c r="E180" i="1005"/>
  <c r="E161" i="1005"/>
  <c r="E468" i="1005"/>
  <c r="E401" i="1005"/>
  <c r="E150" i="1005"/>
  <c r="E169" i="1005"/>
  <c r="D193" i="1005"/>
  <c r="E193" i="1005" s="1"/>
  <c r="E215" i="1005"/>
  <c r="E217" i="1005" s="1"/>
  <c r="E94" i="1005"/>
  <c r="E137" i="1005"/>
  <c r="E85" i="1005"/>
  <c r="E86" i="1005" s="1"/>
  <c r="D109" i="1005"/>
  <c r="E109" i="1005" s="1"/>
  <c r="H156" i="1005"/>
  <c r="D209" i="1005" s="1"/>
  <c r="E209" i="1005" s="1"/>
  <c r="E211" i="1005" s="1"/>
  <c r="D108" i="1005"/>
  <c r="E108" i="1005" s="1"/>
  <c r="E63" i="1000"/>
  <c r="C97" i="1000"/>
  <c r="C98" i="1000"/>
  <c r="E377" i="1000"/>
  <c r="E378" i="1000" s="1"/>
  <c r="E60" i="1000"/>
  <c r="E307" i="1000"/>
  <c r="E308" i="1000" s="1"/>
  <c r="E309" i="1000" s="1"/>
  <c r="E71" i="1000"/>
  <c r="E243" i="1000"/>
  <c r="E255" i="1000"/>
  <c r="F135" i="1000"/>
  <c r="E150" i="1000" s="1"/>
  <c r="F150" i="1000" s="1"/>
  <c r="E25" i="997" l="1"/>
  <c r="F25" i="997" s="1"/>
  <c r="G25" i="997" s="1"/>
  <c r="H25" i="997" s="1"/>
  <c r="I25" i="997" s="1"/>
  <c r="J25" i="997" s="1"/>
  <c r="K25" i="997" s="1"/>
  <c r="G11" i="997"/>
  <c r="H11" i="997" s="1"/>
  <c r="I11" i="997" s="1"/>
  <c r="J11" i="997" s="1"/>
  <c r="K11" i="997" s="1"/>
  <c r="F153" i="1000"/>
  <c r="F154" i="1000" s="1"/>
  <c r="E188" i="1005"/>
  <c r="E429" i="1005"/>
  <c r="E430" i="1005" s="1"/>
  <c r="E139" i="1005"/>
  <c r="F267" i="1005"/>
  <c r="E225" i="1005"/>
  <c r="E417" i="1005"/>
  <c r="D195" i="1005"/>
  <c r="E195" i="1005" s="1"/>
  <c r="E171" i="1005"/>
  <c r="D194" i="1005"/>
  <c r="E194" i="1005" s="1"/>
  <c r="E196" i="1005" s="1"/>
  <c r="E170" i="1005"/>
  <c r="E469" i="1005"/>
  <c r="E492" i="1005"/>
  <c r="E110" i="1005"/>
  <c r="E112" i="1005" s="1"/>
  <c r="D115" i="1005" s="1"/>
  <c r="E115" i="1005" s="1"/>
  <c r="E116" i="1005" s="1"/>
  <c r="E118" i="1005" s="1"/>
  <c r="E164" i="1005"/>
  <c r="C104" i="1000"/>
  <c r="C103" i="1000"/>
  <c r="E256" i="1000"/>
  <c r="E288" i="1000"/>
  <c r="E311" i="1000"/>
  <c r="E172" i="1000" l="1"/>
  <c r="E174" i="1000" s="1"/>
  <c r="E172" i="1005"/>
  <c r="E198" i="1005" s="1"/>
  <c r="D201" i="1005" s="1"/>
  <c r="E201" i="1005" s="1"/>
  <c r="E202" i="1005" s="1"/>
  <c r="E204" i="1005" s="1"/>
  <c r="E227" i="1005" s="1"/>
  <c r="E231" i="1005" s="1"/>
  <c r="E141" i="1005"/>
  <c r="F268" i="1005"/>
  <c r="E286" i="1005"/>
  <c r="E288" i="1005" s="1"/>
  <c r="E493" i="1005"/>
  <c r="E496" i="1005"/>
  <c r="C110" i="1000"/>
  <c r="E110" i="1000" s="1"/>
  <c r="E104" i="1000"/>
  <c r="C109" i="1000"/>
  <c r="E109" i="1000" s="1"/>
  <c r="E103" i="1000"/>
  <c r="E312" i="1000"/>
  <c r="E106" i="1000" l="1"/>
  <c r="E112" i="1000"/>
  <c r="E233" i="1005"/>
  <c r="E497" i="1005"/>
  <c r="E501" i="1005"/>
  <c r="E503" i="1005" s="1"/>
  <c r="E508" i="1005" l="1"/>
  <c r="E590" i="1005" s="1"/>
  <c r="E593" i="1005" l="1"/>
  <c r="E595" i="1005" s="1"/>
  <c r="E595" i="935"/>
  <c r="E510" i="1005"/>
  <c r="E383" i="1000" l="1"/>
  <c r="H71" i="935" l="1"/>
  <c r="D123" i="935" s="1"/>
  <c r="D97" i="1000" l="1"/>
  <c r="E97" i="1000" s="1"/>
  <c r="D125" i="935"/>
  <c r="E344" i="935"/>
  <c r="E384" i="935" s="1"/>
  <c r="E424" i="935" s="1"/>
  <c r="D77" i="935"/>
  <c r="D78" i="935" s="1"/>
  <c r="D64" i="1000" l="1"/>
  <c r="H73" i="935"/>
  <c r="D124" i="935" s="1"/>
  <c r="D98" i="1000" l="1"/>
  <c r="E98" i="1000" s="1"/>
  <c r="D65" i="1000"/>
  <c r="D77" i="1000"/>
  <c r="E64" i="1000"/>
  <c r="E4" i="972"/>
  <c r="D223" i="935"/>
  <c r="E223" i="935" s="1"/>
  <c r="D211" i="935"/>
  <c r="E211" i="935" s="1"/>
  <c r="E77" i="1000" l="1"/>
  <c r="E78" i="1000" s="1"/>
  <c r="D84" i="1000"/>
  <c r="E84" i="1000" s="1"/>
  <c r="E85" i="1000" s="1"/>
  <c r="D99" i="1000"/>
  <c r="E99" i="1000" s="1"/>
  <c r="E100" i="1000" s="1"/>
  <c r="E114" i="1000" s="1"/>
  <c r="E65" i="1000"/>
  <c r="E66" i="1000" s="1"/>
  <c r="E373" i="935"/>
  <c r="E20" i="935"/>
  <c r="D216" i="935"/>
  <c r="D154" i="935"/>
  <c r="D149" i="935"/>
  <c r="D148" i="935"/>
  <c r="E57" i="935"/>
  <c r="E56" i="935"/>
  <c r="E8" i="935"/>
  <c r="E87" i="1000" l="1"/>
  <c r="D90" i="1000" s="1"/>
  <c r="E90" i="1000" s="1"/>
  <c r="E91" i="1000" s="1"/>
  <c r="E93" i="1000" s="1"/>
  <c r="E116" i="1000" s="1"/>
  <c r="E120" i="1000" s="1"/>
  <c r="E122" i="1000" s="1"/>
  <c r="D61" i="1010"/>
  <c r="D62" i="1010"/>
  <c r="H64" i="1010" s="1"/>
  <c r="D115" i="1010" s="1"/>
  <c r="E115" i="1010" s="1"/>
  <c r="E275" i="1000"/>
  <c r="E278" i="1000" s="1"/>
  <c r="E279" i="1000" s="1"/>
  <c r="E281" i="1000" s="1"/>
  <c r="E410" i="935"/>
  <c r="E409" i="935"/>
  <c r="E408" i="935"/>
  <c r="D339" i="935"/>
  <c r="D342" i="935" s="1"/>
  <c r="E346" i="935" s="1"/>
  <c r="D355" i="935"/>
  <c r="E452" i="935"/>
  <c r="E56" i="958"/>
  <c r="E49" i="958"/>
  <c r="F276" i="935"/>
  <c r="F252" i="935"/>
  <c r="F251" i="935"/>
  <c r="E54" i="958"/>
  <c r="B7" i="997"/>
  <c r="B21" i="997" s="1"/>
  <c r="B5" i="997"/>
  <c r="B19" i="997" s="1"/>
  <c r="B3" i="997"/>
  <c r="B17" i="997" s="1"/>
  <c r="E322" i="935"/>
  <c r="E54" i="935"/>
  <c r="C71" i="935" s="1"/>
  <c r="E71" i="935" s="1"/>
  <c r="E53" i="935"/>
  <c r="C76" i="935" s="1"/>
  <c r="E33" i="935"/>
  <c r="E458" i="935" s="1"/>
  <c r="E596" i="935"/>
  <c r="G560" i="935"/>
  <c r="F557" i="935"/>
  <c r="F555" i="935"/>
  <c r="C555" i="935"/>
  <c r="C560" i="935" s="1"/>
  <c r="F554" i="935"/>
  <c r="C554" i="935"/>
  <c r="F553" i="935"/>
  <c r="C553" i="935"/>
  <c r="F548" i="935"/>
  <c r="F556" i="935" s="1"/>
  <c r="D525" i="935"/>
  <c r="D524" i="935"/>
  <c r="F523" i="935"/>
  <c r="F522" i="935"/>
  <c r="E483" i="935"/>
  <c r="E482" i="935"/>
  <c r="E481" i="935"/>
  <c r="E480" i="935"/>
  <c r="E386" i="935"/>
  <c r="E359" i="935"/>
  <c r="E260" i="935"/>
  <c r="F260" i="935" s="1"/>
  <c r="C260" i="935"/>
  <c r="E259" i="935"/>
  <c r="F259" i="935" s="1"/>
  <c r="C259" i="935"/>
  <c r="C257" i="935"/>
  <c r="C256" i="935"/>
  <c r="C255" i="935"/>
  <c r="C254" i="935"/>
  <c r="C253" i="935"/>
  <c r="C252" i="935"/>
  <c r="C251" i="935"/>
  <c r="C246" i="935"/>
  <c r="C245" i="935"/>
  <c r="C244" i="935"/>
  <c r="C243" i="935"/>
  <c r="D217" i="935"/>
  <c r="E217" i="935" s="1"/>
  <c r="C216" i="935"/>
  <c r="E192" i="935"/>
  <c r="E191" i="935"/>
  <c r="E184" i="935"/>
  <c r="E183" i="935"/>
  <c r="E176" i="935"/>
  <c r="E175" i="935"/>
  <c r="C171" i="935"/>
  <c r="C163" i="935"/>
  <c r="C210" i="935" s="1"/>
  <c r="D156" i="935"/>
  <c r="C155" i="935"/>
  <c r="D150" i="935"/>
  <c r="E150" i="935" s="1"/>
  <c r="C149" i="935"/>
  <c r="E137" i="935"/>
  <c r="E131" i="935"/>
  <c r="E125" i="935"/>
  <c r="E106" i="935"/>
  <c r="E105" i="935"/>
  <c r="E98" i="935"/>
  <c r="E97" i="935"/>
  <c r="D100" i="935" s="1"/>
  <c r="E100" i="935" s="1"/>
  <c r="D86" i="935"/>
  <c r="E86" i="935" s="1"/>
  <c r="C72" i="935"/>
  <c r="C78" i="935" s="1"/>
  <c r="E52" i="935"/>
  <c r="E51" i="935"/>
  <c r="E49" i="935"/>
  <c r="E48" i="935"/>
  <c r="E32" i="935"/>
  <c r="E51" i="958"/>
  <c r="B41" i="958"/>
  <c r="B42" i="958"/>
  <c r="B8" i="958"/>
  <c r="B9" i="958"/>
  <c r="D92" i="935"/>
  <c r="E442" i="935"/>
  <c r="C154" i="935"/>
  <c r="C148" i="935"/>
  <c r="C170" i="935"/>
  <c r="C215" i="935"/>
  <c r="C221" i="935" s="1"/>
  <c r="E221" i="935" s="1"/>
  <c r="C162" i="935"/>
  <c r="C209" i="935" s="1"/>
  <c r="E159" i="935"/>
  <c r="B43" i="958"/>
  <c r="B44" i="958"/>
  <c r="D84" i="935"/>
  <c r="E319" i="935"/>
  <c r="E385" i="935" l="1"/>
  <c r="E345" i="935"/>
  <c r="E62" i="1010"/>
  <c r="H62" i="1010"/>
  <c r="D114" i="1010" s="1"/>
  <c r="E114" i="1010" s="1"/>
  <c r="E61" i="1010"/>
  <c r="E117" i="1010"/>
  <c r="E460" i="935"/>
  <c r="E462" i="935" s="1"/>
  <c r="E463" i="935" s="1"/>
  <c r="E465" i="935" s="1"/>
  <c r="E466" i="935" s="1"/>
  <c r="E444" i="935"/>
  <c r="E445" i="935" s="1"/>
  <c r="E282" i="1000"/>
  <c r="E315" i="1000"/>
  <c r="E216" i="935"/>
  <c r="C222" i="935"/>
  <c r="E222" i="935" s="1"/>
  <c r="E224" i="935" s="1"/>
  <c r="E76" i="935"/>
  <c r="C123" i="935"/>
  <c r="E123" i="935" s="1"/>
  <c r="D93" i="935"/>
  <c r="D155" i="935"/>
  <c r="F245" i="935"/>
  <c r="D215" i="935"/>
  <c r="E321" i="935"/>
  <c r="E323" i="935" s="1"/>
  <c r="E324" i="935" s="1"/>
  <c r="E325" i="935" s="1"/>
  <c r="E326" i="935" s="1"/>
  <c r="E400" i="935"/>
  <c r="E401" i="935" s="1"/>
  <c r="E402" i="935" s="1"/>
  <c r="F275" i="935"/>
  <c r="E427" i="935"/>
  <c r="E429" i="935" s="1"/>
  <c r="E430" i="935" s="1"/>
  <c r="E413" i="935"/>
  <c r="E414" i="935" s="1"/>
  <c r="E415" i="935" s="1"/>
  <c r="E417" i="935" s="1"/>
  <c r="F246" i="935"/>
  <c r="F244" i="935"/>
  <c r="F254" i="935"/>
  <c r="E160" i="935"/>
  <c r="D162" i="935" s="1"/>
  <c r="F256" i="935"/>
  <c r="F258" i="935"/>
  <c r="D356" i="935"/>
  <c r="E360" i="935" s="1"/>
  <c r="E361" i="935" s="1"/>
  <c r="F255" i="935"/>
  <c r="F243" i="935"/>
  <c r="C136" i="935"/>
  <c r="E136" i="935" s="1"/>
  <c r="E148" i="935"/>
  <c r="D102" i="935"/>
  <c r="E102" i="935" s="1"/>
  <c r="F524" i="935"/>
  <c r="E525" i="935" s="1"/>
  <c r="F525" i="935" s="1"/>
  <c r="F526" i="935" s="1"/>
  <c r="E529" i="935" s="1"/>
  <c r="E531" i="935" s="1"/>
  <c r="D85" i="935"/>
  <c r="E60" i="935"/>
  <c r="D265" i="935" s="1"/>
  <c r="C130" i="935"/>
  <c r="E130" i="935" s="1"/>
  <c r="C85" i="935"/>
  <c r="C77" i="935"/>
  <c r="C93" i="935"/>
  <c r="F253" i="935"/>
  <c r="F257" i="935"/>
  <c r="F273" i="935"/>
  <c r="D94" i="935"/>
  <c r="E94" i="935" s="1"/>
  <c r="E78" i="935"/>
  <c r="E488" i="935"/>
  <c r="D101" i="935"/>
  <c r="E101" i="935" s="1"/>
  <c r="D108" i="935"/>
  <c r="E108" i="935" s="1"/>
  <c r="D267" i="935"/>
  <c r="F559" i="935"/>
  <c r="F560" i="935" s="1"/>
  <c r="E562" i="935" s="1"/>
  <c r="E563" i="935" s="1"/>
  <c r="E149" i="935"/>
  <c r="E154" i="935"/>
  <c r="E72" i="935"/>
  <c r="C70" i="935"/>
  <c r="E70" i="935" s="1"/>
  <c r="E59" i="935"/>
  <c r="D264" i="935" s="1"/>
  <c r="F274" i="935"/>
  <c r="C129" i="935"/>
  <c r="E129" i="935" s="1"/>
  <c r="C84" i="935"/>
  <c r="E84" i="935" s="1"/>
  <c r="C135" i="935"/>
  <c r="E135" i="935" s="1"/>
  <c r="C92" i="935"/>
  <c r="E92" i="935" s="1"/>
  <c r="E156" i="935"/>
  <c r="E306" i="935"/>
  <c r="E283" i="935" l="1"/>
  <c r="F283" i="935" s="1"/>
  <c r="F278" i="935"/>
  <c r="E281" i="935" s="1"/>
  <c r="F281" i="935" s="1"/>
  <c r="E64" i="1010"/>
  <c r="E104" i="1010" s="1"/>
  <c r="D107" i="1010" s="1"/>
  <c r="E107" i="1010" s="1"/>
  <c r="E108" i="1010" s="1"/>
  <c r="E110" i="1010" s="1"/>
  <c r="E282" i="935"/>
  <c r="F282" i="935" s="1"/>
  <c r="E347" i="935"/>
  <c r="E348" i="935" s="1"/>
  <c r="E364" i="935" s="1"/>
  <c r="E489" i="935"/>
  <c r="E490" i="935" s="1"/>
  <c r="E492" i="935" s="1"/>
  <c r="E493" i="935" s="1"/>
  <c r="E494" i="935" s="1"/>
  <c r="D164" i="935"/>
  <c r="E164" i="935" s="1"/>
  <c r="D163" i="935"/>
  <c r="D179" i="935" s="1"/>
  <c r="E179" i="935" s="1"/>
  <c r="E215" i="935"/>
  <c r="E218" i="935" s="1"/>
  <c r="D120" i="1010"/>
  <c r="E155" i="935"/>
  <c r="E157" i="935" s="1"/>
  <c r="D178" i="935"/>
  <c r="E178" i="935" s="1"/>
  <c r="H155" i="935"/>
  <c r="D209" i="935" s="1"/>
  <c r="E209" i="935" s="1"/>
  <c r="E320" i="1000"/>
  <c r="E316" i="1000"/>
  <c r="E77" i="935"/>
  <c r="E79" i="935" s="1"/>
  <c r="C124" i="935"/>
  <c r="E124" i="935" s="1"/>
  <c r="E126" i="935" s="1"/>
  <c r="E93" i="935"/>
  <c r="E95" i="935" s="1"/>
  <c r="E591" i="935"/>
  <c r="E454" i="935"/>
  <c r="E455" i="935" s="1"/>
  <c r="E418" i="935"/>
  <c r="F247" i="935"/>
  <c r="E267" i="935" s="1"/>
  <c r="F267" i="935" s="1"/>
  <c r="E103" i="935"/>
  <c r="E362" i="935"/>
  <c r="D186" i="935"/>
  <c r="E186" i="935" s="1"/>
  <c r="F261" i="935"/>
  <c r="E265" i="935" s="1"/>
  <c r="F265" i="935" s="1"/>
  <c r="E151" i="935"/>
  <c r="E162" i="935"/>
  <c r="D170" i="935"/>
  <c r="E170" i="935" s="1"/>
  <c r="E138" i="935"/>
  <c r="E73" i="935"/>
  <c r="E85" i="935"/>
  <c r="E87" i="935" s="1"/>
  <c r="E132" i="935"/>
  <c r="D110" i="935"/>
  <c r="E110" i="935" s="1"/>
  <c r="D109" i="935"/>
  <c r="E109" i="935" s="1"/>
  <c r="E389" i="935"/>
  <c r="E390" i="935" s="1"/>
  <c r="E308" i="935"/>
  <c r="E310" i="935" s="1"/>
  <c r="E311" i="935" s="1"/>
  <c r="E312" i="935" s="1"/>
  <c r="E313" i="935" s="1"/>
  <c r="E329" i="935" s="1"/>
  <c r="E330" i="935" s="1"/>
  <c r="F284" i="935" l="1"/>
  <c r="D180" i="935"/>
  <c r="E180" i="935" s="1"/>
  <c r="E181" i="935" s="1"/>
  <c r="D172" i="935"/>
  <c r="E172" i="935" s="1"/>
  <c r="D188" i="935"/>
  <c r="E188" i="935" s="1"/>
  <c r="F285" i="935"/>
  <c r="E120" i="1010"/>
  <c r="D121" i="1010"/>
  <c r="E121" i="1010" s="1"/>
  <c r="H156" i="935"/>
  <c r="H157" i="935"/>
  <c r="D210" i="935" s="1"/>
  <c r="E210" i="935" s="1"/>
  <c r="E212" i="935" s="1"/>
  <c r="E226" i="935" s="1"/>
  <c r="E327" i="1000"/>
  <c r="E322" i="1000"/>
  <c r="E391" i="935"/>
  <c r="E404" i="935" s="1"/>
  <c r="D187" i="935"/>
  <c r="E187" i="935" s="1"/>
  <c r="E189" i="935" s="1"/>
  <c r="E163" i="935"/>
  <c r="E165" i="935" s="1"/>
  <c r="E264" i="935"/>
  <c r="E266" i="935" s="1"/>
  <c r="D171" i="935"/>
  <c r="E171" i="935" s="1"/>
  <c r="D194" i="935"/>
  <c r="E194" i="935" s="1"/>
  <c r="E111" i="935"/>
  <c r="E113" i="935" s="1"/>
  <c r="D116" i="935" s="1"/>
  <c r="E116" i="935" s="1"/>
  <c r="E117" i="935" s="1"/>
  <c r="E119" i="935" s="1"/>
  <c r="E140" i="935"/>
  <c r="E375" i="935"/>
  <c r="E376" i="935" s="1"/>
  <c r="E378" i="935" s="1"/>
  <c r="E379" i="935" s="1"/>
  <c r="E365" i="935"/>
  <c r="E173" i="935" l="1"/>
  <c r="D196" i="935"/>
  <c r="E196" i="935" s="1"/>
  <c r="F264" i="935"/>
  <c r="F266" i="935"/>
  <c r="E420" i="935"/>
  <c r="E472" i="935"/>
  <c r="E496" i="935" s="1"/>
  <c r="E123" i="1010"/>
  <c r="E131" i="1010" s="1"/>
  <c r="E133" i="1010" s="1"/>
  <c r="E138" i="1010" s="1"/>
  <c r="E406" i="1000"/>
  <c r="E409" i="1000" s="1"/>
  <c r="E329" i="1000"/>
  <c r="E405" i="935"/>
  <c r="E421" i="935" s="1"/>
  <c r="E433" i="935"/>
  <c r="E434" i="935" s="1"/>
  <c r="D195" i="935"/>
  <c r="E195" i="935" s="1"/>
  <c r="E197" i="935" s="1"/>
  <c r="E142" i="935"/>
  <c r="E199" i="935" l="1"/>
  <c r="D202" i="935" s="1"/>
  <c r="E202" i="935" s="1"/>
  <c r="E203" i="935" s="1"/>
  <c r="E205" i="935" s="1"/>
  <c r="E228" i="935" s="1"/>
  <c r="E232" i="935" s="1"/>
  <c r="E234" i="935" s="1"/>
  <c r="F268" i="935"/>
  <c r="F269" i="935" s="1"/>
  <c r="E140" i="1010"/>
  <c r="E401" i="1010"/>
  <c r="E411" i="1000"/>
  <c r="D5" i="972" s="1"/>
  <c r="E473" i="935"/>
  <c r="E497" i="935"/>
  <c r="E500" i="935"/>
  <c r="E289" i="935" l="1"/>
  <c r="E291" i="935" s="1"/>
  <c r="E483" i="1010"/>
  <c r="E486" i="1010" s="1"/>
  <c r="E489" i="1010" s="1"/>
  <c r="D6" i="972" s="1"/>
  <c r="F6" i="972" s="1"/>
  <c r="C7" i="1001" s="1"/>
  <c r="C9" i="1001" s="1"/>
  <c r="E403" i="1010"/>
  <c r="E501" i="935"/>
  <c r="E505" i="935"/>
  <c r="E7" i="997" l="1"/>
  <c r="E512" i="935"/>
  <c r="E594" i="935" s="1"/>
  <c r="E598" i="935" s="1"/>
  <c r="E507" i="935"/>
  <c r="F7" i="997" l="1"/>
  <c r="K7" i="997"/>
  <c r="E21" i="997"/>
  <c r="J21" i="997" s="1"/>
  <c r="H7" i="997"/>
  <c r="J7" i="997"/>
  <c r="G7" i="997"/>
  <c r="I7" i="997"/>
  <c r="E514" i="935"/>
  <c r="F5" i="972"/>
  <c r="H21" i="997" l="1"/>
  <c r="K21" i="997"/>
  <c r="I21" i="997"/>
  <c r="G21" i="997"/>
  <c r="F21" i="997"/>
  <c r="E5" i="997"/>
  <c r="E568" i="935"/>
  <c r="E601" i="935"/>
  <c r="D4" i="972" s="1"/>
  <c r="E19" i="997" l="1"/>
  <c r="F19" i="997" s="1"/>
  <c r="G19" i="997" s="1"/>
  <c r="H19" i="997" s="1"/>
  <c r="I19" i="997" s="1"/>
  <c r="J19" i="997" s="1"/>
  <c r="K19" i="997" s="1"/>
  <c r="F4" i="972"/>
  <c r="F5" i="997"/>
  <c r="G5" i="997" l="1"/>
  <c r="H5" i="997" s="1"/>
  <c r="I5" i="997" s="1"/>
  <c r="J5" i="997" s="1"/>
  <c r="K5" i="997" s="1"/>
  <c r="E3" i="997"/>
  <c r="G3" i="997" l="1"/>
  <c r="E13" i="997"/>
  <c r="F9" i="972"/>
  <c r="H3" i="997"/>
  <c r="E17" i="997"/>
  <c r="F17" i="997" s="1"/>
  <c r="F3" i="997"/>
  <c r="F13" i="997" s="1"/>
  <c r="I3" i="997"/>
  <c r="K3" i="997"/>
  <c r="J3" i="997"/>
  <c r="D7" i="1001" l="1"/>
  <c r="D6" i="1001"/>
  <c r="D5" i="1001"/>
  <c r="D8" i="1001"/>
  <c r="D4" i="1001"/>
  <c r="E4" i="1001" s="1"/>
  <c r="I17" i="997"/>
  <c r="K17" i="997"/>
  <c r="G17" i="997"/>
  <c r="J17" i="997"/>
  <c r="H17" i="997"/>
  <c r="F10" i="972"/>
  <c r="E27" i="997"/>
  <c r="F27" i="997" s="1"/>
  <c r="G27" i="997" s="1"/>
  <c r="H27" i="997" s="1"/>
  <c r="I27" i="997" s="1"/>
  <c r="J27" i="997" s="1"/>
  <c r="K27" i="997" s="1"/>
  <c r="E5" i="1001" l="1"/>
  <c r="E6" i="1001" s="1"/>
  <c r="E7" i="1001" s="1"/>
  <c r="E8" i="1001" s="1"/>
  <c r="G13" i="997"/>
  <c r="H13" i="997" s="1"/>
  <c r="I13" i="997" s="1"/>
  <c r="J13" i="997" s="1"/>
  <c r="K13" i="997" s="1"/>
</calcChain>
</file>

<file path=xl/sharedStrings.xml><?xml version="1.0" encoding="utf-8"?>
<sst xmlns="http://schemas.openxmlformats.org/spreadsheetml/2006/main" count="3938" uniqueCount="737">
  <si>
    <t>MATRIZ DE PREÇOS E INSUMOS</t>
  </si>
  <si>
    <t>Dados para dimensionamento</t>
  </si>
  <si>
    <t>Ferramentas</t>
  </si>
  <si>
    <t>Índices de consumo estimados</t>
  </si>
  <si>
    <t>Foice</t>
  </si>
  <si>
    <t>Dias úteis por mês</t>
  </si>
  <si>
    <t>dias</t>
  </si>
  <si>
    <t>Broxa</t>
  </si>
  <si>
    <t>Caminhão caçamba 6m³ - km/l</t>
  </si>
  <si>
    <t>Jornada Diária (segunda a sexta)</t>
  </si>
  <si>
    <t>horas</t>
  </si>
  <si>
    <t>Saco de cal 20 kg</t>
  </si>
  <si>
    <t>Caminhão caçamba 12m³ - km/l</t>
  </si>
  <si>
    <t>*Sábados</t>
  </si>
  <si>
    <t>Carro de mão</t>
  </si>
  <si>
    <t>Caminhão compactador 15m³ - km/l</t>
  </si>
  <si>
    <t>Jornada Semanal</t>
  </si>
  <si>
    <t>horas/semana</t>
  </si>
  <si>
    <t>Cone de Sinalização</t>
  </si>
  <si>
    <t>Caminhão carroceria 7,5m³ - km/l</t>
  </si>
  <si>
    <t>Jornada Mensal</t>
  </si>
  <si>
    <t>horas/mês</t>
  </si>
  <si>
    <t>Sacho</t>
  </si>
  <si>
    <t>Retroescavadeira - l/h</t>
  </si>
  <si>
    <t>Domingos por ano</t>
  </si>
  <si>
    <t>dias/mês</t>
  </si>
  <si>
    <t>Lutocar 240 L</t>
  </si>
  <si>
    <t>Motoniveladora - l/h</t>
  </si>
  <si>
    <t>Feriados por ano</t>
  </si>
  <si>
    <t>Pá de garfo</t>
  </si>
  <si>
    <t>Ônibus - km/l</t>
  </si>
  <si>
    <t>Enxada + cabo</t>
  </si>
  <si>
    <t>Roçadeira Costal - l/h</t>
  </si>
  <si>
    <t>Salários</t>
  </si>
  <si>
    <t>Lona para caminhão</t>
  </si>
  <si>
    <t>Trator sobre rodas - l/h</t>
  </si>
  <si>
    <t>Agente de Limpeza/ Coletor</t>
  </si>
  <si>
    <t>Lutocar 120 L</t>
  </si>
  <si>
    <t>Triciclo de carga - km/l</t>
  </si>
  <si>
    <t>Papeleira 50 L</t>
  </si>
  <si>
    <t>Varredeira de praças - l/h</t>
  </si>
  <si>
    <t>Borracheiro</t>
  </si>
  <si>
    <t>Pá quadrada</t>
  </si>
  <si>
    <t>Varredeira de rua - l/h</t>
  </si>
  <si>
    <t>Operador de roçadeira</t>
  </si>
  <si>
    <t>Cesto de praia</t>
  </si>
  <si>
    <t>Triturador de poda - l/h</t>
  </si>
  <si>
    <t>Operador de varredeira</t>
  </si>
  <si>
    <t>Saco Plástico 100 L</t>
  </si>
  <si>
    <t>Operador de triciclo</t>
  </si>
  <si>
    <t>Vassourão</t>
  </si>
  <si>
    <t>Operador de máquinas</t>
  </si>
  <si>
    <t>Tela de proteção</t>
  </si>
  <si>
    <t>Fiscal</t>
  </si>
  <si>
    <t>Ciscador</t>
  </si>
  <si>
    <t>Pipeiro</t>
  </si>
  <si>
    <t>Motorista</t>
  </si>
  <si>
    <t>Uniformes e EPIs</t>
  </si>
  <si>
    <t>Mínimo</t>
  </si>
  <si>
    <t>Protetor auricular tipo concha</t>
  </si>
  <si>
    <t>Boné tipo "Jóckey"</t>
  </si>
  <si>
    <t>Benefícios</t>
  </si>
  <si>
    <t>Calça comprida de brim</t>
  </si>
  <si>
    <t>Combustível, óleos e lubrificantes</t>
  </si>
  <si>
    <t>Vale-alimentação - motorista</t>
  </si>
  <si>
    <t>Camisa Polo</t>
  </si>
  <si>
    <t>Gasolina - R$/l</t>
  </si>
  <si>
    <t>Vale-alimentação - agentes</t>
  </si>
  <si>
    <t>Camisa de brim com manga</t>
  </si>
  <si>
    <t>Óleo Diesel S10 - R$/l</t>
  </si>
  <si>
    <t>Adicional noturno (20%)</t>
  </si>
  <si>
    <t>Calçados tipo "Vulcabras"</t>
  </si>
  <si>
    <t>Óleo de motor - R$/l</t>
  </si>
  <si>
    <t>Hora extra (50%)</t>
  </si>
  <si>
    <t>Capa de chuva em PVC</t>
  </si>
  <si>
    <t>Óleo hidráulico - R$/l</t>
  </si>
  <si>
    <t>Hora extra (100%)</t>
  </si>
  <si>
    <t>Colete sinalizador</t>
  </si>
  <si>
    <t>Óleo de câmbio - R$/l</t>
  </si>
  <si>
    <t>Café da manhã/ lanche noturno</t>
  </si>
  <si>
    <t>Luvas de cano longo</t>
  </si>
  <si>
    <t>Graxa para lubrificação - R$/kg</t>
  </si>
  <si>
    <t>Insalubridade (outros serviços)</t>
  </si>
  <si>
    <t>Luvas em raspa de couro</t>
  </si>
  <si>
    <t>Insalubridade (coletas)</t>
  </si>
  <si>
    <t>Luva de PVC</t>
  </si>
  <si>
    <t>Óleos e lubrificantes - veículos leves</t>
  </si>
  <si>
    <t>Luvas de algodão</t>
  </si>
  <si>
    <t>Vale-transporte</t>
  </si>
  <si>
    <t>Protetor de pernas - roçadeira</t>
  </si>
  <si>
    <t>Máscara c/filtro</t>
  </si>
  <si>
    <t>Horas noturnas - Jornada 19h às 04h50</t>
  </si>
  <si>
    <t>Meião</t>
  </si>
  <si>
    <t>Horas diurnas trabalhadas (19h às 22h)</t>
  </si>
  <si>
    <t>Óculos de Proteção</t>
  </si>
  <si>
    <t>Horas noturnas trabalhadas (22h às 04h50)</t>
  </si>
  <si>
    <t>Protetor solar FPS 30</t>
  </si>
  <si>
    <t>Fator de redução de hora noturna</t>
  </si>
  <si>
    <t>Número de horas noturnas reduzidas</t>
  </si>
  <si>
    <t>Equipamentos</t>
  </si>
  <si>
    <t>Horas totais trabalhadas</t>
  </si>
  <si>
    <t>Chassi compactador</t>
  </si>
  <si>
    <t>Hora extra noturna</t>
  </si>
  <si>
    <t>Chassi toco</t>
  </si>
  <si>
    <t>Adicional de hora extra</t>
  </si>
  <si>
    <t>Chassi trucado</t>
  </si>
  <si>
    <t>Taxas - BDI</t>
  </si>
  <si>
    <t>Taxa de juros anual</t>
  </si>
  <si>
    <t>Carroceria aberta de madeira</t>
  </si>
  <si>
    <t>PIS</t>
  </si>
  <si>
    <t>Compactador 15 m³ com dispositivo</t>
  </si>
  <si>
    <t>Pneumáticos</t>
  </si>
  <si>
    <t>COFINS</t>
  </si>
  <si>
    <t>Caminhão Caçamba Basculante 6m³</t>
  </si>
  <si>
    <t>Pneu caminhão/ônibus</t>
  </si>
  <si>
    <t>ISS</t>
  </si>
  <si>
    <t>Recapagem</t>
  </si>
  <si>
    <t>Taxa de administração</t>
  </si>
  <si>
    <t>Caminhão Caçamba Basculante 6m³ poda</t>
  </si>
  <si>
    <t>Câmara caminhão/ônibus</t>
  </si>
  <si>
    <t>Risco</t>
  </si>
  <si>
    <t>Caminhão carroceria de madeira</t>
  </si>
  <si>
    <t>Pneu retro/motoniveladora/trator s/camara</t>
  </si>
  <si>
    <t>Seguro e garantia</t>
  </si>
  <si>
    <t>Caminhão compactador de 15m³</t>
  </si>
  <si>
    <t>Câmara retro/motoniveladora/trator</t>
  </si>
  <si>
    <t>Despesas financeiras</t>
  </si>
  <si>
    <t>Motoniveladora</t>
  </si>
  <si>
    <t>Pneu triciclo de carga</t>
  </si>
  <si>
    <t>Lucro</t>
  </si>
  <si>
    <t>Retroescavadeira</t>
  </si>
  <si>
    <t>Protetor de Pneus</t>
  </si>
  <si>
    <t>Trator</t>
  </si>
  <si>
    <t>Câmara moto</t>
  </si>
  <si>
    <t>Taxas - veículos</t>
  </si>
  <si>
    <t>Roçadeira para trator</t>
  </si>
  <si>
    <t>Seguro obrigatório - motos</t>
  </si>
  <si>
    <t>Triturador de poda</t>
  </si>
  <si>
    <t>Equipamento de rastremento GPS</t>
  </si>
  <si>
    <t>Seguro obrigatório - caminhões</t>
  </si>
  <si>
    <t>Máquina de pintura de meio fio</t>
  </si>
  <si>
    <t>Dispositivo - veículo com pesagem</t>
  </si>
  <si>
    <t>IPVA - automóveis</t>
  </si>
  <si>
    <t>Micro-onibus</t>
  </si>
  <si>
    <t>Teclado - veículo com pesagem</t>
  </si>
  <si>
    <t>IPVA - motos</t>
  </si>
  <si>
    <t>Ônibus</t>
  </si>
  <si>
    <t>Mensalidade - veículo com pesagem</t>
  </si>
  <si>
    <t>IPVA - caminhões</t>
  </si>
  <si>
    <t>Reboque para transporte de material</t>
  </si>
  <si>
    <t>Dispositivo - veículo sem pesagem</t>
  </si>
  <si>
    <t>Vida útil dos equipamentos</t>
  </si>
  <si>
    <t>Roçadeira Costal</t>
  </si>
  <si>
    <t>Mensalidade - veículo sem pesagem</t>
  </si>
  <si>
    <t>Licenciamento ciclomotores</t>
  </si>
  <si>
    <t>Dispositivo - portátil</t>
  </si>
  <si>
    <t>Prevenção de incêndio (bombeiros) - ciclom</t>
  </si>
  <si>
    <t>Varredeira mecanizada de rua</t>
  </si>
  <si>
    <t>Mensalidade - portátil</t>
  </si>
  <si>
    <t>Licenciamento veículos</t>
  </si>
  <si>
    <t>Varredeira de pequeno porte</t>
  </si>
  <si>
    <t>Pacote de dados</t>
  </si>
  <si>
    <t>Prevenção de incêndio (bombeiros)</t>
  </si>
  <si>
    <t>Contêiner 1,6m³</t>
  </si>
  <si>
    <t>Seguro obrigatório - onibus/micro-onibus</t>
  </si>
  <si>
    <t>Capacete p/ motociclista</t>
  </si>
  <si>
    <t>-</t>
  </si>
  <si>
    <t>QUADRO GERAL DE QUANTIDADES E PREÇOS POR SERVIÇO</t>
  </si>
  <si>
    <t>ITENS</t>
  </si>
  <si>
    <t>DESCRIÇÃO DOS SERVIÇOS</t>
  </si>
  <si>
    <t>UNIDADE</t>
  </si>
  <si>
    <t>PREÇO UNITÁRIO</t>
  </si>
  <si>
    <t>QUANTIDADE</t>
  </si>
  <si>
    <t>VALOR MENSAL (R$)</t>
  </si>
  <si>
    <t>ton/mês</t>
  </si>
  <si>
    <t>equipe/mês</t>
  </si>
  <si>
    <t>TOTAL MENSAL</t>
  </si>
  <si>
    <t>VALOR PARA 12 MESES DE CONTRATO</t>
  </si>
  <si>
    <t xml:space="preserve">COMPOSIÇÃO DE CUSTO UNITÁRIO </t>
  </si>
  <si>
    <t xml:space="preserve"> DADOS PARA O DIMENSIONAMENTO</t>
  </si>
  <si>
    <t>Produção Mensal</t>
  </si>
  <si>
    <t xml:space="preserve">(t/mês) </t>
  </si>
  <si>
    <t>Período do Contrato</t>
  </si>
  <si>
    <t xml:space="preserve">(meses) </t>
  </si>
  <si>
    <t>Dias úteis no mês</t>
  </si>
  <si>
    <t>(dias/mês)</t>
  </si>
  <si>
    <t>(km)</t>
  </si>
  <si>
    <t>a) PREVISÃO DO NÚMERO DE VEÍCULOS PARA A COLETA:</t>
  </si>
  <si>
    <t>Tonelada por viagem</t>
  </si>
  <si>
    <t>(t/viagem)</t>
  </si>
  <si>
    <t>N° de viagens por veículo</t>
  </si>
  <si>
    <t>(viagem/veículo.turno)</t>
  </si>
  <si>
    <t>NÚMERO DE VEÍCULOS DIMENSIONADO</t>
  </si>
  <si>
    <t>veículos</t>
  </si>
  <si>
    <t>NÚMERO DE CAMINHÕES/ TURNO</t>
  </si>
  <si>
    <t>N° de caminhões</t>
  </si>
  <si>
    <t>Diurno</t>
  </si>
  <si>
    <t>caminhões</t>
  </si>
  <si>
    <t>Noturno</t>
  </si>
  <si>
    <t>Reserva Técnica Máx.</t>
  </si>
  <si>
    <t xml:space="preserve"> QUADRO RESUMO:</t>
  </si>
  <si>
    <t>Discriminação</t>
  </si>
  <si>
    <t>Caminhões</t>
  </si>
  <si>
    <t>Fiscalização</t>
  </si>
  <si>
    <t>Coleta Diurna (15m³)</t>
  </si>
  <si>
    <t>Coleta Diurna (6m³)</t>
  </si>
  <si>
    <t>Reserva técnica</t>
  </si>
  <si>
    <t>Total para o serviço</t>
  </si>
  <si>
    <t>b) DIMENSIONAMENTO DE PESSOAL</t>
  </si>
  <si>
    <t>Agentes de limpeza</t>
  </si>
  <si>
    <t>Fiscal de coleta (diurno)</t>
  </si>
  <si>
    <t>Fiscal de coleta (noturno)</t>
  </si>
  <si>
    <t>Encarregado de trafego</t>
  </si>
  <si>
    <t>(Diurno)</t>
  </si>
  <si>
    <t>(Noturno)</t>
  </si>
  <si>
    <t>Coleta Diurna</t>
  </si>
  <si>
    <t>Coleta Noturna</t>
  </si>
  <si>
    <t>TOTAL GERAL</t>
  </si>
  <si>
    <t xml:space="preserve"> (para este serviço)</t>
  </si>
  <si>
    <t>Fiscais de coleta</t>
  </si>
  <si>
    <t>01) MÃO-DE-OBRA</t>
  </si>
  <si>
    <t>1.1 Coleta Diurna</t>
  </si>
  <si>
    <t>a) Salário</t>
  </si>
  <si>
    <t>Quantidade</t>
  </si>
  <si>
    <t>Custo Unitário</t>
  </si>
  <si>
    <t>Custo Total</t>
  </si>
  <si>
    <t>Agente de limpeza</t>
  </si>
  <si>
    <t>Fiscal e Encarregado</t>
  </si>
  <si>
    <t>Sub-total - a</t>
  </si>
  <si>
    <t>(R$)</t>
  </si>
  <si>
    <t>b) Insalubridade</t>
  </si>
  <si>
    <t>Sub-total - b</t>
  </si>
  <si>
    <t>c) Horas Extras 50%</t>
  </si>
  <si>
    <t>Número de horas extras por mês - Motorista</t>
  </si>
  <si>
    <t>Número de horas extras por mês - Agente limpeza/Fiscal</t>
  </si>
  <si>
    <t>Sub-total - c</t>
  </si>
  <si>
    <t>d) Horas Extras 100%</t>
  </si>
  <si>
    <t>Número de horas extras 100% por mês - Motorista</t>
  </si>
  <si>
    <t>(feriados)</t>
  </si>
  <si>
    <t>Sub-total - d</t>
  </si>
  <si>
    <t>d.2) Horas Extras 100%</t>
  </si>
  <si>
    <t>(domingos)</t>
  </si>
  <si>
    <t>Sub-total - d.2</t>
  </si>
  <si>
    <t>e) DSR</t>
  </si>
  <si>
    <t>Quantidade de domingos e feriados por mês</t>
  </si>
  <si>
    <t>Sub-total - e</t>
  </si>
  <si>
    <t>SUB-TOTAL (a+...+e)</t>
  </si>
  <si>
    <t>f) Leis Sociais ( % )</t>
  </si>
  <si>
    <t>Encargos Sociais</t>
  </si>
  <si>
    <t>Sub-total - f</t>
  </si>
  <si>
    <t>SUB-TOTAL (a+...+f)</t>
  </si>
  <si>
    <t>Sub-total - g</t>
  </si>
  <si>
    <t>Sub-total - h</t>
  </si>
  <si>
    <t>Sub-total - i</t>
  </si>
  <si>
    <t>Sub -total mensal (g+...+i)</t>
  </si>
  <si>
    <t>1.2 Coleta Noturna</t>
  </si>
  <si>
    <t>Horas noturnas trabalhadas por mês (22h às 04h50)</t>
  </si>
  <si>
    <t>c) Adicional Noturno</t>
  </si>
  <si>
    <t>Dias por mês</t>
  </si>
  <si>
    <t>d) Horas Extras noturnas 50%</t>
  </si>
  <si>
    <t>,</t>
  </si>
  <si>
    <t>e) Horas Extras noturnas 100%</t>
  </si>
  <si>
    <t>e.2) Horas Extras noturnas 100%</t>
  </si>
  <si>
    <t>Sub-total - e.2</t>
  </si>
  <si>
    <t>f) DSR</t>
  </si>
  <si>
    <t>g) Leis Sociais ( % )</t>
  </si>
  <si>
    <t>SUB-TOTAL (a+...+g)</t>
  </si>
  <si>
    <t>i) Vale-Alimentação e Refeição</t>
  </si>
  <si>
    <t>Sub -total mensal (h+...+j)</t>
  </si>
  <si>
    <t>Sub -total mensal COLETA NOTURNA</t>
  </si>
  <si>
    <t>TOTAL MENSAL - ITEM 01</t>
  </si>
  <si>
    <t>(mão de obra direta)</t>
  </si>
  <si>
    <t>TOTAL PERÍODO DO CONTRATO - ITEM 01</t>
  </si>
  <si>
    <t>02) UNIFORMES E FERRAMENTAIS</t>
  </si>
  <si>
    <t>a) Fardamento/EPI's</t>
  </si>
  <si>
    <t>Fardamento/ EPI</t>
  </si>
  <si>
    <t>Quantidade por funcionário/ ano</t>
  </si>
  <si>
    <t>Custo Total Mensal</t>
  </si>
  <si>
    <t>Sub-total fardamentos</t>
  </si>
  <si>
    <t>AGENTE DE LIMPEZA</t>
  </si>
  <si>
    <t>Sub-total fardamentos - agente de limpeza</t>
  </si>
  <si>
    <t>Quantidade de funcionários</t>
  </si>
  <si>
    <t>Custo Mensal</t>
  </si>
  <si>
    <t>Agente de limpeza diurno</t>
  </si>
  <si>
    <t>Agente de limpeza noturno</t>
  </si>
  <si>
    <t>Total Mensal - item a</t>
  </si>
  <si>
    <t>Custo do Período do Contrato - item a</t>
  </si>
  <si>
    <t>b) Ferramentas por veículo</t>
  </si>
  <si>
    <t>Quantidade por veículo/ano</t>
  </si>
  <si>
    <t>Cone de sinalização</t>
  </si>
  <si>
    <t>Sub-total ferramentas</t>
  </si>
  <si>
    <t>Quantidade de veículos</t>
  </si>
  <si>
    <t>Total Mensal - item b</t>
  </si>
  <si>
    <t>Custo do Período do Contrato - item b</t>
  </si>
  <si>
    <t>TOTAL MENSAL - ITEM 02</t>
  </si>
  <si>
    <t>(fardamentos e EPIs)</t>
  </si>
  <si>
    <t>TOTAL PERÍODO DO CONTRATO - ITEM 02</t>
  </si>
  <si>
    <t>03) OPERAÇÃO DA FROTA</t>
  </si>
  <si>
    <t>CUSTO FIXO</t>
  </si>
  <si>
    <r>
      <rPr>
        <b/>
        <sz val="9"/>
        <rFont val="Tahoma"/>
        <family val="2"/>
      </rPr>
      <t>a) Depreciação:</t>
    </r>
  </si>
  <si>
    <t>N° de Caminhões Compactador</t>
  </si>
  <si>
    <t>(ud)</t>
  </si>
  <si>
    <t>Valor do chassi</t>
  </si>
  <si>
    <t>Valor do equipamento</t>
  </si>
  <si>
    <t>Vida Útil do Equipamento</t>
  </si>
  <si>
    <t>(anos)</t>
  </si>
  <si>
    <t>Valor residual</t>
  </si>
  <si>
    <t>Horas trabalhadas por ano</t>
  </si>
  <si>
    <t>(h/a)</t>
  </si>
  <si>
    <t>Valor depreciado em horas</t>
  </si>
  <si>
    <t>Valor depreciado</t>
  </si>
  <si>
    <t>Depreciação Mensal</t>
  </si>
  <si>
    <t>(R$/mês)</t>
  </si>
  <si>
    <t>Para todos os caminhões</t>
  </si>
  <si>
    <t>CONTÊINERES</t>
  </si>
  <si>
    <t>Para todos os contêineres</t>
  </si>
  <si>
    <t>Custo Mensal - item a</t>
  </si>
  <si>
    <r>
      <rPr>
        <b/>
        <sz val="9"/>
        <rFont val="Tahoma"/>
        <family val="2"/>
      </rPr>
      <t>b) Remuneração do Capital Investido</t>
    </r>
    <r>
      <rPr>
        <sz val="9"/>
        <rFont val="Tahoma"/>
        <family val="2"/>
      </rPr>
      <t xml:space="preserve"> </t>
    </r>
  </si>
  <si>
    <t>CAMINHÕES COMPACTADORES</t>
  </si>
  <si>
    <t>O cálculo do coeficiente de remuneração 'C' é dado por:</t>
  </si>
  <si>
    <t>C = [(2 + (n - 1) * (k + 1)) / (24 n)] * j, onde:</t>
  </si>
  <si>
    <t>k = % residual</t>
  </si>
  <si>
    <t>n = vida útil (anos)</t>
  </si>
  <si>
    <t>j = juros (ao ano)</t>
  </si>
  <si>
    <t>C =</t>
  </si>
  <si>
    <t>N° de Caminhões</t>
  </si>
  <si>
    <t>Coeficiente de remuneração</t>
  </si>
  <si>
    <t>Custo de capital</t>
  </si>
  <si>
    <t>N° de contêineres</t>
  </si>
  <si>
    <t>Valor do contêiner</t>
  </si>
  <si>
    <t>Custo Mensal - item b</t>
  </si>
  <si>
    <t>c) Licenciamentos e Seguros</t>
  </si>
  <si>
    <t>Taxa de licenciamento</t>
  </si>
  <si>
    <t>Taxa de bombeiros</t>
  </si>
  <si>
    <t>Seguro total</t>
  </si>
  <si>
    <t>(R$/ano)</t>
  </si>
  <si>
    <t>IPVA</t>
  </si>
  <si>
    <t>Custo unitário</t>
  </si>
  <si>
    <t>Custo total para caminhões</t>
  </si>
  <si>
    <t>Custo Mensal - item c</t>
  </si>
  <si>
    <t>(/mês)</t>
  </si>
  <si>
    <t>Custo do Período do Contrato - item c</t>
  </si>
  <si>
    <t xml:space="preserve">d) Manutenção </t>
  </si>
  <si>
    <t>Coeficiente de Manutenção</t>
  </si>
  <si>
    <t>Horas trabalhdas por Ano</t>
  </si>
  <si>
    <t>(h)</t>
  </si>
  <si>
    <t>Custo Mensal - item d</t>
  </si>
  <si>
    <t>Custo do Período do Contrato - item d</t>
  </si>
  <si>
    <t>e) Instalação e utilização de GPS</t>
  </si>
  <si>
    <t>Custo de instalação</t>
  </si>
  <si>
    <t>Custo de operação mensal</t>
  </si>
  <si>
    <t>Custo Mensal - item e</t>
  </si>
  <si>
    <t>Custo do Período do Contrato - item e</t>
  </si>
  <si>
    <t>TOTAL CUSTO FIXO</t>
  </si>
  <si>
    <t>Custo Mensal (a+b+c+d+e)</t>
  </si>
  <si>
    <t>Custo do Período do Contrato</t>
  </si>
  <si>
    <t>CUSTO VARIAVEL</t>
  </si>
  <si>
    <r>
      <rPr>
        <b/>
        <sz val="9"/>
        <rFont val="Tahoma"/>
        <family val="2"/>
      </rPr>
      <t>f) Combustível</t>
    </r>
    <r>
      <rPr>
        <sz val="9"/>
        <rFont val="Tahoma"/>
        <family val="2"/>
      </rPr>
      <t xml:space="preserve"> </t>
    </r>
  </si>
  <si>
    <t xml:space="preserve">Preço Óleo Diesel </t>
  </si>
  <si>
    <t>(R$/l)</t>
  </si>
  <si>
    <t>Percurso Mensal</t>
  </si>
  <si>
    <t>(Km)</t>
  </si>
  <si>
    <t xml:space="preserve">Consumo médio Óleo Diesel </t>
  </si>
  <si>
    <t>(Km/l)</t>
  </si>
  <si>
    <t>Custo para todos os caminhões</t>
  </si>
  <si>
    <t>Custo Mensal - item f</t>
  </si>
  <si>
    <t>Custo do Período do Contrato - item f</t>
  </si>
  <si>
    <t>Adotou-se que o custo com lavagem equivale a 10% dos custos com manutenção</t>
  </si>
  <si>
    <t xml:space="preserve">Quantidade de Óleo Motor </t>
  </si>
  <si>
    <t>(l)</t>
  </si>
  <si>
    <t>Quantidade de Óleo Hidraúlico</t>
  </si>
  <si>
    <t>Quantidade de Óleo Transmissão</t>
  </si>
  <si>
    <t xml:space="preserve">Quantidade de Graxa Lubrificante </t>
  </si>
  <si>
    <t>(Kg)</t>
  </si>
  <si>
    <t>Quilometragem de Lubrificante</t>
  </si>
  <si>
    <t xml:space="preserve">Consumo Óleo Motor </t>
  </si>
  <si>
    <t>(l/Km)</t>
  </si>
  <si>
    <t xml:space="preserve">Consumo Óleo Hidraúlico </t>
  </si>
  <si>
    <t>Consumo Óleo Transmissão</t>
  </si>
  <si>
    <t>Consumo Graxa Lubrificante</t>
  </si>
  <si>
    <t>(kg/Km)</t>
  </si>
  <si>
    <t xml:space="preserve">Preço Unit. Óleo Motor </t>
  </si>
  <si>
    <t xml:space="preserve">Preço Unit. Óleo Hidráulico </t>
  </si>
  <si>
    <t xml:space="preserve">Preço Unit. Óleo de Transmissão </t>
  </si>
  <si>
    <t>Preço Unit. Graxa Lubrificante</t>
  </si>
  <si>
    <t>(R$/kg)</t>
  </si>
  <si>
    <t>Custo Unitário por Km</t>
  </si>
  <si>
    <t>(R$/Km)</t>
  </si>
  <si>
    <t>Custo Mensal Lubrificante</t>
  </si>
  <si>
    <t>Filtros % sobre Custo do Lubrificante</t>
  </si>
  <si>
    <t>(%)</t>
  </si>
  <si>
    <t>Custo Mensal Filtros</t>
  </si>
  <si>
    <t>Custo Mensal Lubrificante + Filtros</t>
  </si>
  <si>
    <t>Custo Mensal - item g</t>
  </si>
  <si>
    <t>Custo do Período do Contrato - item g</t>
  </si>
  <si>
    <t>TOTAL CUSTO VARIÁVEL</t>
  </si>
  <si>
    <t>TOTAL MENSAL - ITEM 03</t>
  </si>
  <si>
    <t>(operação da frota)</t>
  </si>
  <si>
    <t>TOTAL PERÍODO DO CONTRATO - ITEM 03</t>
  </si>
  <si>
    <t>TOTAL MENSAL DE CUSTO DIRETO</t>
  </si>
  <si>
    <t>(01+02+03)</t>
  </si>
  <si>
    <t>TOTAL PERÍODO DO CONTRATO - CUSTO DIRETO</t>
  </si>
  <si>
    <t>04) MÃO-DE-OBRA INDIRETA</t>
  </si>
  <si>
    <t>Custo por mês</t>
  </si>
  <si>
    <t>Sub-total</t>
  </si>
  <si>
    <t>Encargos Sociais ( % )</t>
  </si>
  <si>
    <t>Sub-total c/ encargos</t>
  </si>
  <si>
    <t>TOTAL MENSAL ITEM - 04</t>
  </si>
  <si>
    <t>(mão de obra indireta)</t>
  </si>
  <si>
    <t>TOTAL PERÍODO DO CONTRATO ITEM - 04</t>
  </si>
  <si>
    <t>05) VEÍCULOS DE APOIO</t>
  </si>
  <si>
    <t>N° de veículos</t>
  </si>
  <si>
    <t>Locaçao  mes</t>
  </si>
  <si>
    <t>Vida útil</t>
  </si>
  <si>
    <t>(meses)</t>
  </si>
  <si>
    <t>Residual de Depreciação</t>
  </si>
  <si>
    <t>Manutenção</t>
  </si>
  <si>
    <t xml:space="preserve">    Rem.Cap Inv.</t>
  </si>
  <si>
    <t>(% anual)</t>
  </si>
  <si>
    <t xml:space="preserve">       Licen. e seguros</t>
  </si>
  <si>
    <t xml:space="preserve">     Lubrificantes </t>
  </si>
  <si>
    <t xml:space="preserve">     Quilom.Mensal </t>
  </si>
  <si>
    <t>Litros/mês</t>
  </si>
  <si>
    <t xml:space="preserve">     Preço Unit Combustível</t>
  </si>
  <si>
    <t xml:space="preserve">Consumo Pneus </t>
  </si>
  <si>
    <t xml:space="preserve">Preço conj. Pneus </t>
  </si>
  <si>
    <t>Custo Mensal Depreciação</t>
  </si>
  <si>
    <t>Custo Mensal Manutenção</t>
  </si>
  <si>
    <t xml:space="preserve">Cus.Mensal Remun.Cap. Investido </t>
  </si>
  <si>
    <t xml:space="preserve">Cus.Mensal Remune.Capital Investido </t>
  </si>
  <si>
    <t xml:space="preserve">Cus.Mensal Licenc. e Seguros </t>
  </si>
  <si>
    <t xml:space="preserve">Cus.Mensal Licenciamento e Seguros </t>
  </si>
  <si>
    <t>Custo Fixo Mensal</t>
  </si>
  <si>
    <t xml:space="preserve">Custo Mensal Combustível </t>
  </si>
  <si>
    <t xml:space="preserve">Custo Mensal Lubricante </t>
  </si>
  <si>
    <t xml:space="preserve">Custo Mensal Pneus </t>
  </si>
  <si>
    <t>Custo Var. Mensal</t>
  </si>
  <si>
    <t>TOTAL MENSAL ITEM - 5</t>
  </si>
  <si>
    <t>TOTAL MENSAL - ITEM 5</t>
  </si>
  <si>
    <t>TOTAL PERÍODO DO CONTRATO - ITEM 5</t>
  </si>
  <si>
    <t>TOTAL MENSAL DE CUSTO DIRETO E INDIRETO</t>
  </si>
  <si>
    <t>(01+02+03+04+05)</t>
  </si>
  <si>
    <t xml:space="preserve">CUSTO DIRETO E INDIRETO NO PERÍODO DO CONTRATO </t>
  </si>
  <si>
    <t xml:space="preserve">  (01+ 02+ 03+ 04+ 05)</t>
  </si>
  <si>
    <t>06) TAXAS , IMPOSTOS E LUCRO - BDI</t>
  </si>
  <si>
    <t>FÓRMULA DO BDI/LDI CONFORME ACÓRDÃO DO TCU</t>
  </si>
  <si>
    <t>TRIBUTOS:</t>
  </si>
  <si>
    <r>
      <rPr>
        <sz val="11"/>
        <color theme="0" tint="-4.9989318521683403E-2"/>
        <rFont val="Tahoma"/>
        <family val="2"/>
      </rPr>
      <t xml:space="preserve">Taxa de tributos (PIS + COFINS + ISS) - </t>
    </r>
    <r>
      <rPr>
        <b/>
        <sz val="11"/>
        <color theme="0" tint="-4.9989318521683403E-2"/>
        <rFont val="Tahoma"/>
        <family val="2"/>
      </rPr>
      <t>I</t>
    </r>
  </si>
  <si>
    <r>
      <rPr>
        <sz val="11"/>
        <color theme="0" tint="-4.9989318521683403E-2"/>
        <rFont val="Tahoma"/>
        <family val="2"/>
      </rPr>
      <t xml:space="preserve">Taxa de rateio da administração Central - </t>
    </r>
    <r>
      <rPr>
        <b/>
        <sz val="11"/>
        <color theme="0" tint="-4.9989318521683403E-2"/>
        <rFont val="Tahoma"/>
        <family val="2"/>
      </rPr>
      <t>AC</t>
    </r>
  </si>
  <si>
    <r>
      <rPr>
        <sz val="11"/>
        <color theme="0" tint="-4.9989318521683403E-2"/>
        <rFont val="Tahoma"/>
        <family val="2"/>
      </rPr>
      <t xml:space="preserve">Taxa de risco do empreendimento - </t>
    </r>
    <r>
      <rPr>
        <b/>
        <sz val="11"/>
        <color theme="0" tint="-4.9989318521683403E-2"/>
        <rFont val="Tahoma"/>
        <family val="2"/>
      </rPr>
      <t>R</t>
    </r>
  </si>
  <si>
    <r>
      <rPr>
        <sz val="11"/>
        <color theme="0" tint="-4.9989318521683403E-2"/>
        <rFont val="Tahoma"/>
        <family val="2"/>
      </rPr>
      <t xml:space="preserve">Taxa de seguro e garantia do empreendimento - </t>
    </r>
    <r>
      <rPr>
        <b/>
        <sz val="11"/>
        <color theme="0" tint="-4.9989318521683403E-2"/>
        <rFont val="Tahoma"/>
        <family val="2"/>
      </rPr>
      <t>S e G</t>
    </r>
  </si>
  <si>
    <r>
      <rPr>
        <sz val="11"/>
        <color theme="0" tint="-4.9989318521683403E-2"/>
        <rFont val="Tahoma"/>
        <family val="2"/>
      </rPr>
      <t xml:space="preserve">Taxa de despesas financeiras - </t>
    </r>
    <r>
      <rPr>
        <b/>
        <sz val="11"/>
        <color theme="0" tint="-4.9989318521683403E-2"/>
        <rFont val="Tahoma"/>
        <family val="2"/>
      </rPr>
      <t>DF</t>
    </r>
  </si>
  <si>
    <r>
      <rPr>
        <sz val="11"/>
        <color theme="0" tint="-4.9989318521683403E-2"/>
        <rFont val="Tahoma"/>
        <family val="2"/>
      </rPr>
      <t xml:space="preserve">Taxa de lucro - </t>
    </r>
    <r>
      <rPr>
        <b/>
        <sz val="11"/>
        <color theme="0" tint="-4.9989318521683403E-2"/>
        <rFont val="Tahoma"/>
        <family val="2"/>
      </rPr>
      <t>L</t>
    </r>
  </si>
  <si>
    <t>BDI/LDI</t>
  </si>
  <si>
    <t>CUSTO TOTAL MENSAL</t>
  </si>
  <si>
    <t>PRODUÇÃO MENSAL ESTIMADA</t>
  </si>
  <si>
    <t>(ton/mês)</t>
  </si>
  <si>
    <t>CUSTO UNITÁRIO DO SERVIÇO</t>
  </si>
  <si>
    <t>(/ton)</t>
  </si>
  <si>
    <t>PREÇO DE VENDA UNITÁRIO</t>
  </si>
  <si>
    <t>(km/mês)</t>
  </si>
  <si>
    <t>Quantidade adotada</t>
  </si>
  <si>
    <t xml:space="preserve">Consumo Óleo Diesel </t>
  </si>
  <si>
    <t>Adotou-se que o custo com lavagem equivale a  10% dos custos com manutenção</t>
  </si>
  <si>
    <t>05) VEÍCULO DE SUPERVISÃO E MOTO PARA FISCALIZAÇAO</t>
  </si>
  <si>
    <t>N° de motos</t>
  </si>
  <si>
    <t xml:space="preserve">(equipe/mês) </t>
  </si>
  <si>
    <t>Percurso diário (estimado)</t>
  </si>
  <si>
    <t>Percurso mensal (para cálculo do consumo de combustível)</t>
  </si>
  <si>
    <t>ROTEIROS DIÁRIOS</t>
  </si>
  <si>
    <t>(viagem/veículo.dia)</t>
  </si>
  <si>
    <t>Reserva Técnica</t>
  </si>
  <si>
    <t>.</t>
  </si>
  <si>
    <t>Supervisor</t>
  </si>
  <si>
    <t>(diurno)</t>
  </si>
  <si>
    <t>Coleta de resíduos volumosos</t>
  </si>
  <si>
    <t>d) Horas Extras 50%</t>
  </si>
  <si>
    <t>Número de horas extras por mês - Agente de limpeza</t>
  </si>
  <si>
    <t>Quantidade de domingos por mês</t>
  </si>
  <si>
    <t>h) Vale-Alimentação</t>
  </si>
  <si>
    <t>Lona de proteção</t>
  </si>
  <si>
    <t>'''</t>
  </si>
  <si>
    <t>VEICULO LEVE 1.000 CC</t>
  </si>
  <si>
    <t xml:space="preserve">     Consumo Combustível </t>
  </si>
  <si>
    <t>(EQUIPE/mês)</t>
  </si>
  <si>
    <t>(/EQUIPE)</t>
  </si>
  <si>
    <t>Custo Mensal (f+g+h)</t>
  </si>
  <si>
    <t>Preço do Combustivel</t>
  </si>
  <si>
    <t>Motocicleta</t>
  </si>
  <si>
    <t>Valor do equipamento compactador 15m³</t>
  </si>
  <si>
    <t>Coleta Diurna (12m³)</t>
  </si>
  <si>
    <t>MOTORISTA</t>
  </si>
  <si>
    <t>VEÍCULO: CAMINHÃO caçamba basculante de 12 m³</t>
  </si>
  <si>
    <t>Valor do chass</t>
  </si>
  <si>
    <t>g) Pneu</t>
  </si>
  <si>
    <t>Preço de um rodízio de pneus (6 pneus completos)</t>
  </si>
  <si>
    <t>Quilometros Rodados Com um Rodízio</t>
  </si>
  <si>
    <t>Quilometros Rodados por mês</t>
  </si>
  <si>
    <t>(Kml)</t>
  </si>
  <si>
    <t>h) Lubrificação e Lavagem</t>
  </si>
  <si>
    <t>Custo Mensal - item h</t>
  </si>
  <si>
    <t>Custo do Período do Contrato - item h</t>
  </si>
  <si>
    <t>CRONOGRAMA FISICO FINANCEIRO</t>
  </si>
  <si>
    <t>ITEM</t>
  </si>
  <si>
    <t>DESCRIMINAÇÃO</t>
  </si>
  <si>
    <t>VALOR</t>
  </si>
  <si>
    <t>1 MÊS</t>
  </si>
  <si>
    <t>2 MÊS</t>
  </si>
  <si>
    <t>3 MÊS</t>
  </si>
  <si>
    <t>4 MÊS</t>
  </si>
  <si>
    <t>5 MÊS</t>
  </si>
  <si>
    <t>6 MÊS</t>
  </si>
  <si>
    <t>R$</t>
  </si>
  <si>
    <t>%</t>
  </si>
  <si>
    <t>TOTAL</t>
  </si>
  <si>
    <t>Aulixiar</t>
  </si>
  <si>
    <t>Produção Diaria</t>
  </si>
  <si>
    <t>(t/dia)</t>
  </si>
  <si>
    <r>
      <t>Guarnição por caminhão</t>
    </r>
    <r>
      <rPr>
        <sz val="9"/>
        <rFont val="Tahoma"/>
        <family val="2"/>
      </rPr>
      <t>: Para cada veículo: uma guarnição composta de 01 motorista e 03 agentes de limpeza</t>
    </r>
  </si>
  <si>
    <t>Agente de coletor</t>
  </si>
  <si>
    <t xml:space="preserve">Leis sociais </t>
  </si>
  <si>
    <t>Sub -total mensal (g+...+h)</t>
  </si>
  <si>
    <r>
      <t>Guarnição por caminhão</t>
    </r>
    <r>
      <rPr>
        <sz val="9"/>
        <rFont val="Tahoma"/>
        <family val="2"/>
      </rPr>
      <t>: Para cada veículo: uma guarnição composta de 01 motorista e 02 agentes de limpeza</t>
    </r>
  </si>
  <si>
    <t xml:space="preserve">Sub -total mensal </t>
  </si>
  <si>
    <t>7 MÊS</t>
  </si>
  <si>
    <t>8 MÊS</t>
  </si>
  <si>
    <t>9 MÊS</t>
  </si>
  <si>
    <t>10 MÊS</t>
  </si>
  <si>
    <t>11 MÊS</t>
  </si>
  <si>
    <t>12 MÊS</t>
  </si>
  <si>
    <t>Carroceria caçamba 8m³</t>
  </si>
  <si>
    <t>Caminhão Caçamba Basculante 8m³</t>
  </si>
  <si>
    <t>Serão considerarados valores residuais de 20% dos caminhões</t>
  </si>
  <si>
    <t>CAMINHÕES BASCULANTE</t>
  </si>
  <si>
    <t>Custo Mensal - item d.2</t>
  </si>
  <si>
    <t>Custo do Período do Contrato - item d.2</t>
  </si>
  <si>
    <t>Serão considerarados valores residuais de 20% dos equipamentos</t>
  </si>
  <si>
    <t>Valor do veiculo com equipamento</t>
  </si>
  <si>
    <t>Motorista Diruno</t>
  </si>
  <si>
    <t>Motorista Noturno</t>
  </si>
  <si>
    <t>Agentes Coletor Diurno</t>
  </si>
  <si>
    <t>Agentes Coletor Noturno</t>
  </si>
  <si>
    <t>CAMINHÃO BASCULANTE</t>
  </si>
  <si>
    <t>Percurso médio para toda frota(Compactadores)</t>
  </si>
  <si>
    <t>Percurso médio para toda frota(Basculante)</t>
  </si>
  <si>
    <t xml:space="preserve">TOTAL MENSAL </t>
  </si>
  <si>
    <t>i) SEGURO DE VIDA GRATUITO</t>
  </si>
  <si>
    <t>VEÍCULO: CAMINHÃO COMPACTADOR - 15 m³ e 19 m³</t>
  </si>
  <si>
    <t>Valor do equipamento compactador 19m³</t>
  </si>
  <si>
    <t>h) Vale Transporte</t>
  </si>
  <si>
    <t>g) Vale Transporte</t>
  </si>
  <si>
    <t>Valor do  equipamento</t>
  </si>
  <si>
    <t>Vigia</t>
  </si>
  <si>
    <t>Agente coletor</t>
  </si>
  <si>
    <t>CAMINHÃO CARROCERIA DE MADEIRA</t>
  </si>
  <si>
    <t>Caminhão Carroceria de Madeira</t>
  </si>
  <si>
    <t>CURVA ABC</t>
  </si>
  <si>
    <t>VALOR TOTAL  EM 12 MESES</t>
  </si>
  <si>
    <t>% INDIVIDUAL</t>
  </si>
  <si>
    <t>% ACUMULADO</t>
  </si>
  <si>
    <t>CONCEITO</t>
  </si>
  <si>
    <t>A</t>
  </si>
  <si>
    <t>B</t>
  </si>
  <si>
    <t>C</t>
  </si>
  <si>
    <t xml:space="preserve">(mês) </t>
  </si>
  <si>
    <t>c) Lubrificação e Lavagem</t>
  </si>
  <si>
    <t>Custo Mensal (a+b+c+d)</t>
  </si>
  <si>
    <t>remoção/mês</t>
  </si>
  <si>
    <t>caminhão</t>
  </si>
  <si>
    <t>1) PREVISÃO DO NÚMERO DE VEÍCULOS RESERVA</t>
  </si>
  <si>
    <t>a) Ferramentas por veículo</t>
  </si>
  <si>
    <t>(fardamentos)</t>
  </si>
  <si>
    <t>02) OPERAÇÃO DA FROTA</t>
  </si>
  <si>
    <t>(01+02)</t>
  </si>
  <si>
    <t xml:space="preserve">  (01+ 02)</t>
  </si>
  <si>
    <t>03) TAXAS , IMPOSTOS E LUCRO - BDI</t>
  </si>
  <si>
    <t>CUSTO TOTAL MENSAL (CAMINHÃO RESERVA</t>
  </si>
  <si>
    <t>(mês)</t>
  </si>
  <si>
    <t xml:space="preserve">VEÍCULO: </t>
  </si>
  <si>
    <t>a) DIMENSIONAMENTO DE PESSOAL</t>
  </si>
  <si>
    <r>
      <rPr>
        <b/>
        <sz val="9"/>
        <rFont val="Tahoma"/>
        <family val="2"/>
      </rPr>
      <t>Guarnição por caminhão</t>
    </r>
    <r>
      <rPr>
        <sz val="9"/>
        <rFont val="Tahoma"/>
        <family val="2"/>
      </rPr>
      <t xml:space="preserve">: </t>
    </r>
  </si>
  <si>
    <t>Auxiliar Administrativo</t>
  </si>
  <si>
    <t>Fiscal Noturno</t>
  </si>
  <si>
    <t>Fiscal Diurno</t>
  </si>
  <si>
    <t>Administração Local</t>
  </si>
  <si>
    <t>1.1 Administração</t>
  </si>
  <si>
    <t>h) Vale Alimentação</t>
  </si>
  <si>
    <t>Sub -total mensal Administração</t>
  </si>
  <si>
    <t>02) TAXAS E DESPESAS EVENTUAIS</t>
  </si>
  <si>
    <t>Especificações</t>
  </si>
  <si>
    <t>Quantidade/ano</t>
  </si>
  <si>
    <t>Luz</t>
  </si>
  <si>
    <t>Água</t>
  </si>
  <si>
    <t>Telefone</t>
  </si>
  <si>
    <t>Internet</t>
  </si>
  <si>
    <t>Instalações</t>
  </si>
  <si>
    <t>Aluguel de escritótio/garagem</t>
  </si>
  <si>
    <t xml:space="preserve">Quantidade </t>
  </si>
  <si>
    <t xml:space="preserve">Taxas </t>
  </si>
  <si>
    <t>Aluguel</t>
  </si>
  <si>
    <t>b) Ferramentas por equipe</t>
  </si>
  <si>
    <t>Motosserra</t>
  </si>
  <si>
    <t>Enxadas</t>
  </si>
  <si>
    <t>Enxadões</t>
  </si>
  <si>
    <t>Forcados</t>
  </si>
  <si>
    <t>Sacos plásticos 0,10 mm cap. 100 L</t>
  </si>
  <si>
    <t>Ancinhos</t>
  </si>
  <si>
    <t>Carrinho de mão</t>
  </si>
  <si>
    <t>Roçadeira mecanica</t>
  </si>
  <si>
    <t>Quantidade de equipes</t>
  </si>
  <si>
    <t>N° de motocicletas</t>
  </si>
  <si>
    <t>Valor do chassi -</t>
  </si>
  <si>
    <t>Para todas as motos</t>
  </si>
  <si>
    <t>N° de veiculo passeio</t>
  </si>
  <si>
    <t xml:space="preserve">Valor do chassi </t>
  </si>
  <si>
    <t>N° de microonibus</t>
  </si>
  <si>
    <t>N° de veiculos</t>
  </si>
  <si>
    <t>N° de  veiculos</t>
  </si>
  <si>
    <t>Custo total os veiculos</t>
  </si>
  <si>
    <t>Custo total para  microonibus</t>
  </si>
  <si>
    <t>Custo total para os veiculos</t>
  </si>
  <si>
    <t>g) Lubrificação e Lavagem</t>
  </si>
  <si>
    <t>Custo Mensal (f+g)</t>
  </si>
  <si>
    <t>05) VEÍCULO PARA FISCALIZAÇAO</t>
  </si>
  <si>
    <r>
      <rPr>
        <sz val="11"/>
        <color theme="0" tint="-4.9989318521683403E-2"/>
        <rFont val="Tahoma"/>
        <family val="2"/>
      </rPr>
      <t xml:space="preserve">Taxa de tributos (PIS + COFINS + ISS + CON) - </t>
    </r>
    <r>
      <rPr>
        <b/>
        <sz val="11"/>
        <color theme="0" tint="-4.9989318521683403E-2"/>
        <rFont val="Tahoma"/>
        <family val="2"/>
      </rPr>
      <t>I</t>
    </r>
  </si>
  <si>
    <t>05. ADMINISTRAÇÃO LOCAL</t>
  </si>
  <si>
    <t>N° de Veiculos</t>
  </si>
  <si>
    <t>ADMINISTRAÇÃO LOCAL</t>
  </si>
  <si>
    <t>mês</t>
  </si>
  <si>
    <t>und/mês</t>
  </si>
  <si>
    <t>01) CONSTRUÇÃO</t>
  </si>
  <si>
    <t>b) Material</t>
  </si>
  <si>
    <t>Valor Unitário</t>
  </si>
  <si>
    <t>DEMOLIÇÃO DE PISO DE CONCRETO SIMPLES, DE FORMA MANUAL, SEM REAPROVEITAMENTO. AF_09/2023</t>
  </si>
  <si>
    <t>ESCAVAÇÃO MECANIZADA DE VALA COM PROFUNDIDADE MAIOR QUE 1,5 M ATÉ 3,0 (MÉDIA MONTANTE E JUSANTE/UMA COMPOSIÇÃO POR TRECHO), RETROESCAV. (0,26 M3), LARGURA MENOR QUE 0,8 M, EM SOLO DE 1A CATEGORIA, LOCAIS COM BAIXO NÍVEL DE INTERFERÊNCIA. AF_02/2021</t>
  </si>
  <si>
    <t>TRANSPORTE COM CAMINHÃO BASCULANTE DE 14 M³, EM VIA URBANA PAVIMENTADA, M3XKM DMT ATÉ 30 KM (UNIDADE: M3XKM). AF_07/2020</t>
  </si>
  <si>
    <t>Concreto Fck=25Mpa, incl. Lançamento</t>
  </si>
  <si>
    <t>ALVENARIA DE VEDAÇÃO DE BLOCOS CERÂMICOS FURADOS NA HORIZONTAL DE 9X19X19 CM (ESPESSURA 9 CM) E ARGAMASSA DE ASSENTAMENTO COM PREPARO EM BETONEIRA. AF_12/2021</t>
  </si>
  <si>
    <t>CHAPISCO APLICADO EM ALVENARIAS E ESTRUTURAS DE CONCRETO INTERNAS, COM COLHER DE PEDREIRO. ARGAMASSA TRAÇO 1:3 COM PREPARO EM BETONEIRA 400L. AF_10/2022</t>
  </si>
  <si>
    <t>MASSA ÚNICA, PARA RECEBIMENTO DE PINTURA, EM ARGAMASSA TRAÇO 1:2:8, PREPARO MECÂNICO COM BETONEIRA 400L, APLICADA MANUALMENTE EM FACES INTERNAS DE PAREDES, ESPESSURA DE 20MM, COM EXECUÇÃO DE TALISCAS. AF_06/2014</t>
  </si>
  <si>
    <t>ATERRO MECANIZADO DE VALA COM ESCAVADEIRA HIDRÁULICA (CAPACIDADE DA CAÇAMBA: 0,8 M³ / POTÊNCIA: 111 HP), LARGURA ATÉ 2,5 M, PROFUNDIDADE ATÉ 1,5 M, COM SOLO ARGILO-ARENOSO. AF_08/2023</t>
  </si>
  <si>
    <t>VEÍCULO: CAMINHÃO COMPACTADOR - 15 m³</t>
  </si>
  <si>
    <t>(viagem)</t>
  </si>
  <si>
    <t>(und/mês)</t>
  </si>
  <si>
    <t>(/und)</t>
  </si>
  <si>
    <t>COLETA MECANIZADA COM MUNCK E TRANSPORTE DE RESÍDUOS DEPOSITADOS EM CONTÊINERES SEMIENTERRADOS E/OU SOTERRADOS ATÉ O DESTINO FINAL</t>
  </si>
  <si>
    <t>(Material)</t>
  </si>
  <si>
    <t>CUSTO TOTAL CONSTRUÇÃO</t>
  </si>
  <si>
    <t>CUSTO TOTAL LOCAÇÃO, MANUTENÇAO E LAVAGEM</t>
  </si>
  <si>
    <t>N° de Contetores</t>
  </si>
  <si>
    <t>Custo para todos os Contetores</t>
  </si>
  <si>
    <t>Custo total para Contetores</t>
  </si>
  <si>
    <t>Para todos os Contetores</t>
  </si>
  <si>
    <t>Valor do Contetor</t>
  </si>
  <si>
    <t xml:space="preserve">02) OPERAÇÃO </t>
  </si>
  <si>
    <t>Custo Mensal (c)</t>
  </si>
  <si>
    <t>Valor do equipamento compactador 15m³ e munck</t>
  </si>
  <si>
    <t>VEÍCULO: CAMINHÃO COMPACTADOR - 19 m³</t>
  </si>
  <si>
    <t>IMPLANTAÇÃO DE CONTÊINERES SEMIENTERRADOS E/OU SOTERRADOS, INCLUINDO SUA LOCAÇÃO, MANUTENÇÃO E HIGIENIZAÇÃO COM 2 BOCAS, PARA 1.000 L</t>
  </si>
  <si>
    <t>COMPOSIÇÃO AUXILIAR</t>
  </si>
  <si>
    <t>Código</t>
  </si>
  <si>
    <t>Descrição</t>
  </si>
  <si>
    <t>Fonte</t>
  </si>
  <si>
    <t>Sinapi</t>
  </si>
  <si>
    <t>PEDREIRO COM ENCARGOS COMPLEMENTARES</t>
  </si>
  <si>
    <t>SERVENTE COM ENCARGOS COMPLEMENTARES</t>
  </si>
  <si>
    <t>Tipo</t>
  </si>
  <si>
    <t>SEDI - SERVIÇOS DIVERSOS</t>
  </si>
  <si>
    <t>unidade</t>
  </si>
  <si>
    <t>H</t>
  </si>
  <si>
    <t>coeficiente</t>
  </si>
  <si>
    <t>SERP - SERVIÇOS PRELIMINARES</t>
  </si>
  <si>
    <t>Total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</si>
  <si>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</si>
  <si>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CHOR - CUSTOS HORÁRIOS DE MÁQUINAS E EQUIPAMENTOS</t>
  </si>
  <si>
    <t>CHI</t>
  </si>
  <si>
    <t>RETROESCAVADEIRA SOBRE RODAS COM CARREGADEIRA, TRAÇÃO 4X4, POTÊNCIA LÍQ. 88 HP, CAÇAMBA CARREG. CAP. MÍN. 1 M3, CAÇAMBA RETRO CAP. 0,26 M3, PESO OPERACIONAL MÍN. 6.674 KG, PROFUNDIDADE ESCAVAÇÃO MÁX. 4,37 M - CHI DIURNO. AF_06/2015</t>
  </si>
  <si>
    <t>CHP</t>
  </si>
  <si>
    <t>MOVT - MOVIMENTO DE TERRA</t>
  </si>
  <si>
    <t>M³</t>
  </si>
  <si>
    <t>CAMINHÃO BASCULANTE 14 M3, COM CAVALO MECÂNICO DE CAPACIDADE MÁXIMA DE TRAÇÃO COMBINADO DE 36000 KG, POTÊNCIA 286 CV, INCLUSIVE SEMIREBOQUE COM CAÇAMBA METÁLICA - CHI DIURNO. AF_12/2014</t>
  </si>
  <si>
    <t>CAMINHÃO BASCULANTE 14 M3, COM CAVALO MECÂNICO DE CAPACIDADE MÁXIMA DE TRAÇÃO COMBINADO DE 36000 KG, POTÊNCIA 286 CV, INCLUSIVE SEMIREBOQUE COM CAÇAMBA METÁLICA - CHP DIURNO. AF_12/2014</t>
  </si>
  <si>
    <t>M3XKM</t>
  </si>
  <si>
    <t>TRAN - TRANSPORTES, CARGAS E DESCARGAS</t>
  </si>
  <si>
    <t>74138/003</t>
  </si>
  <si>
    <t>CONCRETO USINADO BOMBEADO FCK=25MPA, INCLUSIVE LANCAMENTO E ADENSAMENTO</t>
  </si>
  <si>
    <t>FUES - FUNDAÇÕES E ESTRUTURAS</t>
  </si>
  <si>
    <t>I 1527</t>
  </si>
  <si>
    <t>I 10485</t>
  </si>
  <si>
    <t>ARMADOR COM ENCARGOS COMPLEMENTARES</t>
  </si>
  <si>
    <t>CARPINTEIRO DE FORMAS COM ENCARGOS COMPLEMENTARES</t>
  </si>
  <si>
    <t xml:space="preserve">	SERVENTE COM ENCARGOS COMPLEMENTARES</t>
  </si>
  <si>
    <t>CONCRETO USINADO BOMBEAVEL, CLASSE DE RESISTENCIA C25, COM BRITA 0 E 1, SLUMP = 100 +/- 20 MM, INCLUI SERVICO DE BOMBEAMENTO (NBR 8953)</t>
  </si>
  <si>
    <t>VIBRADOR DE IMERSAO C/ MOTOR ELETRICO 2HP MONOFASICO QUALQUER DIAM C/ MANGOTE</t>
  </si>
  <si>
    <t>Material</t>
  </si>
  <si>
    <t>Equipamento</t>
  </si>
  <si>
    <t>PARE - PAREDES/PAINEIS</t>
  </si>
  <si>
    <t>M²</t>
  </si>
  <si>
    <t>ARGAMASSA TRAÇO 1:2:8 (EM VOLUME DE CIMENTO, CAL E AREIA MÉDIA ÚMIDA) PARA EMBOÇO/MASSA ÚNICA/ASSENTAMENTO DE ALVENARIA DE VEDAÇÃO, PREPARO MECÂNICO COM BETONEIRA 400 L. AF_08/2019</t>
  </si>
  <si>
    <t>BLOCO CERAMICO / TIJOLO VAZADO PARA ALVENARIA DE VEDACAO, 8 FUROS NA HORIZONTAL DE 9 X 19 X 19 CM (L X A X C)</t>
  </si>
  <si>
    <t>PINO DE ACO COM FURO, HASTE = 27 MM (ACAO DIRETA)</t>
  </si>
  <si>
    <t>TELA DE ACO SOLDADA GALVANIZADA/ZINCADA PARA ALVENARIA, FIO D = *1,20 A 1,70* MM, MALHA 15 X 15 MM, (C X L) *50 X 7,5* CM</t>
  </si>
  <si>
    <t>UN</t>
  </si>
  <si>
    <t>CENTO</t>
  </si>
  <si>
    <t>M</t>
  </si>
  <si>
    <t>I 7271</t>
  </si>
  <si>
    <t>I 37395</t>
  </si>
  <si>
    <t>I 34557</t>
  </si>
  <si>
    <t>REVE - REVESTIMENTO E TRATAMENTO DE SUPERFÍCIES</t>
  </si>
  <si>
    <t>ARGAMASSA TRAÇO 1:3 (EM VOLUME DE CIMENTO E AREIA GROSSA ÚMIDA) PARA CHAPISCO CONVENCIONAL, PREPARO MECÂNICO COM BETONEIRA 400 L. AF_08/2019</t>
  </si>
  <si>
    <t>I 6079</t>
  </si>
  <si>
    <t>CAMINHÃO PIPA 10.000 L TRUCADO, PESO BRUTO TOTAL 23.000 KG, CARGA ÚTIL MÁXIMA 15.935 KG, DISTÂNCIA ENTRE EIXOS 4,8 M, POTÊNCIA 230 CV, INCLUSIVE TANQUE DE AÇO PARA TRANSPORTE DE ÁGUA - CHI DIURNO. AF_06/2014</t>
  </si>
  <si>
    <t>CAMINHÃO PIPA 10.000 L TRUCADO, PESO BRUTO TOTAL 23.000 KG, CARGA ÚTIL MÁXIMA 15.935 KG, DISTÂNCIA ENTRE EIXOS 4,8 M, POTÊNCIA 230 CV, INCLUSIVE TANQUE DE AÇO PARA TRANSPORTE DE ÁGUA - CHP DIURNO. AF_06/2014</t>
  </si>
  <si>
    <t>COMPACTADOR DE SOLOS DE PERCUSSÃO (SOQUETE) COM MOTOR A GASOLINA 4 TEMPOS, POTÊNCIA 4 CV - CHP DIURNO. AF_08/2015</t>
  </si>
  <si>
    <t>ESCAVADEIRA HIDRÁULICA SOBRE ESTEIRAS, CAÇAMBA 0,80 M3, PESO OPERACIONAL 17 T, POTENCIA BRUTA 111 HP - CHI DIURNO. AF_06/2014</t>
  </si>
  <si>
    <t>ESCAVADEIRA HIDRÁULICA SOBRE ESTEIRAS, CAÇAMBA 0,80 M3, PESO OPERACIONAL 17 T, POTENCIA BRUTA 111 HP - CHP DIURNO. AF_06/2014</t>
  </si>
  <si>
    <t>ARGILA, ARGILA VERMELHA OU ARGILA ARENOSA (RETIRADA NA JAZIDA, SEM TRANSPORTE)</t>
  </si>
  <si>
    <t>i) GRATIFICAÇÃO ASSIDUIDADE</t>
  </si>
  <si>
    <t>i)  GRATIFICAÇÃO ASSIDUIDADE</t>
  </si>
  <si>
    <t>IMPLANTAÇÃO E OPERAÇÃO DE ECOPONTOS</t>
  </si>
  <si>
    <t>SUB-TOTAL (a+...+c)</t>
  </si>
  <si>
    <t>Marinheiro</t>
  </si>
  <si>
    <t xml:space="preserve">Agente de limpeza </t>
  </si>
  <si>
    <t>N° de Barco</t>
  </si>
  <si>
    <t xml:space="preserve">Valor do equipamento </t>
  </si>
  <si>
    <t>Serão considerarados valores residuais de 20% veiculos</t>
  </si>
  <si>
    <t>Para todos os Veiculos</t>
  </si>
  <si>
    <t>Custo total para veiculos</t>
  </si>
  <si>
    <t>Custo total para Veiculos</t>
  </si>
  <si>
    <t>(l/h)</t>
  </si>
  <si>
    <t>(h/mês)</t>
  </si>
  <si>
    <t>Custo para todos os veiculos</t>
  </si>
  <si>
    <t>Colete salva vidas</t>
  </si>
  <si>
    <t>Containers</t>
  </si>
  <si>
    <t>COLETA MANUAL, CONTEINIZADA E FLUVIAL DE RESÍDUOS SÓLIDOS DOMICILIARES, COMERCIAIS E DE FEIRAS LIVRES, COM SISTEMA DE MONITORAMENTO COM GPS, ATÉ O DESTINO FINAL</t>
  </si>
  <si>
    <t>COMPOSIÇÃO AUXILIAR PARA CAMINHÃO RESERVA COMPACTADOR DE 15 M3 PARA COLETA MANUAL E CONTEINIZADA DE RESÍDUOS SÓLIDOS DOMICILIARES, COMERCIAISE DE FEIRAS LIVRES, COM SISTEMA DE MONITORAMENTO COM GPS, ATÉ O DESTINO FINAL</t>
  </si>
  <si>
    <t>Serão considerarados valores residuais de 10% dos contentores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</si>
</sst>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_);_(* \(#,##0.0\);_(* &quot;-&quot;??_);_(@_)"/>
    <numFmt numFmtId="166" formatCode="&quot;R$&quot;#,##0.00"/>
    <numFmt numFmtId="167" formatCode="00"/>
    <numFmt numFmtId="168" formatCode="0.000"/>
    <numFmt numFmtId="169" formatCode="_(* #,##0.00_);_(* \(#,##0.00\);_(* &quot;-&quot;??_);_(@_)"/>
    <numFmt numFmtId="170" formatCode="#,##0.0000"/>
    <numFmt numFmtId="171" formatCode="&quot;R$&quot;\ #,##0.00"/>
    <numFmt numFmtId="172" formatCode="_(* #,##0.0000_);_(* \(#,##0.0000\);_(* &quot;-&quot;??_);_(@_)"/>
    <numFmt numFmtId="173" formatCode="0.0"/>
    <numFmt numFmtId="174" formatCode="&quot;R$&quot;\ #,##0.000"/>
    <numFmt numFmtId="175" formatCode="_(&quot;R$&quot;* #,##0.00_);_(&quot;R$&quot;* \(#,##0.00\);_(&quot;R$&quot;* &quot;-&quot;??_);_(@_)"/>
    <numFmt numFmtId="176" formatCode="0.0%"/>
  </numFmts>
  <fonts count="46">
    <font>
      <sz val="10"/>
      <name val="Arial"/>
      <charset val="134"/>
    </font>
    <font>
      <b/>
      <sz val="14"/>
      <color theme="0"/>
      <name val="Tahoma"/>
      <family val="2"/>
    </font>
    <font>
      <b/>
      <sz val="11"/>
      <color theme="0" tint="-4.9989318521683403E-2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color indexed="62"/>
      <name val="Tahoma"/>
      <family val="2"/>
    </font>
    <font>
      <b/>
      <sz val="9"/>
      <color indexed="12"/>
      <name val="Tahoma"/>
      <family val="2"/>
    </font>
    <font>
      <sz val="8"/>
      <name val="Tahoma"/>
      <family val="2"/>
    </font>
    <font>
      <sz val="9"/>
      <color theme="0"/>
      <name val="Tahoma"/>
      <family val="2"/>
    </font>
    <font>
      <sz val="10"/>
      <name val="Tahoma"/>
      <family val="2"/>
    </font>
    <font>
      <sz val="9"/>
      <name val="Verdana"/>
      <family val="2"/>
    </font>
    <font>
      <sz val="9"/>
      <color indexed="10"/>
      <name val="Tahoma"/>
      <family val="2"/>
    </font>
    <font>
      <b/>
      <sz val="9"/>
      <color theme="0"/>
      <name val="Tahoma"/>
      <family val="2"/>
    </font>
    <font>
      <b/>
      <u/>
      <sz val="9"/>
      <name val="Tahoma"/>
      <family val="2"/>
    </font>
    <font>
      <b/>
      <i/>
      <sz val="9"/>
      <color theme="0"/>
      <name val="Tahoma"/>
      <family val="2"/>
    </font>
    <font>
      <sz val="7"/>
      <name val="Tahoma"/>
      <family val="2"/>
    </font>
    <font>
      <sz val="5"/>
      <name val="Tahoma"/>
      <family val="2"/>
    </font>
    <font>
      <sz val="9"/>
      <color indexed="12"/>
      <name val="Tahoma"/>
      <family val="2"/>
    </font>
    <font>
      <b/>
      <sz val="8"/>
      <name val="Tahoma"/>
      <family val="2"/>
    </font>
    <font>
      <b/>
      <sz val="7"/>
      <name val="Tahoma"/>
      <family val="2"/>
    </font>
    <font>
      <b/>
      <sz val="11"/>
      <name val="Tahoma"/>
      <family val="2"/>
    </font>
    <font>
      <sz val="11"/>
      <color theme="0" tint="-4.9989318521683403E-2"/>
      <name val="Tahoma"/>
      <family val="2"/>
    </font>
    <font>
      <b/>
      <sz val="9"/>
      <name val="Verdana"/>
      <family val="2"/>
    </font>
    <font>
      <b/>
      <sz val="9"/>
      <color indexed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b/>
      <sz val="13"/>
      <name val="Tahoma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6"/>
      <color theme="0" tint="-4.9989318521683403E-2"/>
      <name val="Times New Roman"/>
      <family val="1"/>
    </font>
    <font>
      <sz val="10"/>
      <name val="Arial"/>
      <family val="2"/>
    </font>
    <font>
      <b/>
      <sz val="11"/>
      <color indexed="10"/>
      <name val="Tahoma"/>
      <family val="2"/>
    </font>
    <font>
      <sz val="8"/>
      <name val="Arial"/>
      <family val="2"/>
    </font>
    <font>
      <sz val="9"/>
      <color rgb="FFFF0000"/>
      <name val="Tahoma"/>
      <family val="2"/>
    </font>
    <font>
      <sz val="9"/>
      <color rgb="FFFF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6">
    <xf numFmtId="0" fontId="0" fillId="0" borderId="0"/>
    <xf numFmtId="16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/>
    <xf numFmtId="0" fontId="32" fillId="0" borderId="0"/>
    <xf numFmtId="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35" fillId="0" borderId="0"/>
    <xf numFmtId="175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6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16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64" fontId="41" fillId="0" borderId="0" applyFont="0" applyFill="0" applyBorder="0" applyAlignment="0" applyProtection="0"/>
  </cellStyleXfs>
  <cellXfs count="854">
    <xf numFmtId="0" fontId="0" fillId="0" borderId="0" xfId="0"/>
    <xf numFmtId="0" fontId="3" fillId="0" borderId="0" xfId="0" applyFont="1"/>
    <xf numFmtId="169" fontId="4" fillId="0" borderId="0" xfId="1" applyFont="1" applyFill="1" applyBorder="1" applyProtection="1"/>
    <xf numFmtId="0" fontId="4" fillId="0" borderId="0" xfId="0" applyFont="1" applyAlignment="1">
      <alignment horizontal="left"/>
    </xf>
    <xf numFmtId="169" fontId="5" fillId="0" borderId="0" xfId="0" applyNumberFormat="1" applyFont="1"/>
    <xf numFmtId="169" fontId="3" fillId="0" borderId="0" xfId="0" applyNumberFormat="1" applyFont="1"/>
    <xf numFmtId="167" fontId="4" fillId="0" borderId="0" xfId="0" applyNumberFormat="1" applyFont="1" applyAlignment="1">
      <alignment horizontal="left" vertical="center"/>
    </xf>
    <xf numFmtId="0" fontId="6" fillId="0" borderId="0" xfId="0" applyFont="1"/>
    <xf numFmtId="169" fontId="6" fillId="0" borderId="0" xfId="1" applyFont="1" applyFill="1" applyBorder="1" applyProtection="1"/>
    <xf numFmtId="0" fontId="7" fillId="0" borderId="0" xfId="0" applyFont="1" applyAlignment="1">
      <alignment horizontal="center" vertical="center"/>
    </xf>
    <xf numFmtId="167" fontId="4" fillId="4" borderId="2" xfId="0" applyNumberFormat="1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3" xfId="0" applyFont="1" applyFill="1" applyBorder="1"/>
    <xf numFmtId="0" fontId="3" fillId="4" borderId="3" xfId="0" applyFont="1" applyFill="1" applyBorder="1"/>
    <xf numFmtId="0" fontId="3" fillId="4" borderId="5" xfId="0" applyFont="1" applyFill="1" applyBorder="1"/>
    <xf numFmtId="167" fontId="4" fillId="4" borderId="6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4" fillId="4" borderId="0" xfId="0" applyFont="1" applyFill="1"/>
    <xf numFmtId="169" fontId="8" fillId="3" borderId="7" xfId="1" applyFont="1" applyFill="1" applyBorder="1" applyAlignment="1" applyProtection="1">
      <alignment horizontal="right"/>
    </xf>
    <xf numFmtId="0" fontId="3" fillId="4" borderId="0" xfId="0" applyFont="1" applyFill="1"/>
    <xf numFmtId="0" fontId="9" fillId="4" borderId="8" xfId="0" applyFont="1" applyFill="1" applyBorder="1"/>
    <xf numFmtId="169" fontId="8" fillId="3" borderId="7" xfId="1" applyFont="1" applyFill="1" applyBorder="1" applyProtection="1"/>
    <xf numFmtId="0" fontId="3" fillId="4" borderId="0" xfId="0" applyFont="1" applyFill="1" applyAlignment="1">
      <alignment horizontal="left"/>
    </xf>
    <xf numFmtId="0" fontId="3" fillId="4" borderId="8" xfId="0" applyFont="1" applyFill="1" applyBorder="1"/>
    <xf numFmtId="167" fontId="4" fillId="4" borderId="9" xfId="0" applyNumberFormat="1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4" borderId="10" xfId="0" applyFont="1" applyFill="1" applyBorder="1"/>
    <xf numFmtId="169" fontId="8" fillId="3" borderId="11" xfId="1" applyFont="1" applyFill="1" applyBorder="1" applyProtection="1"/>
    <xf numFmtId="0" fontId="3" fillId="4" borderId="10" xfId="0" applyFont="1" applyFill="1" applyBorder="1" applyAlignment="1">
      <alignment horizontal="left"/>
    </xf>
    <xf numFmtId="0" fontId="3" fillId="4" borderId="12" xfId="0" applyFont="1" applyFill="1" applyBorder="1"/>
    <xf numFmtId="0" fontId="3" fillId="0" borderId="3" xfId="0" applyFont="1" applyBorder="1"/>
    <xf numFmtId="0" fontId="3" fillId="0" borderId="13" xfId="0" applyFont="1" applyBorder="1"/>
    <xf numFmtId="0" fontId="10" fillId="0" borderId="14" xfId="0" applyFont="1" applyBorder="1"/>
    <xf numFmtId="0" fontId="4" fillId="4" borderId="3" xfId="0" applyFont="1" applyFill="1" applyBorder="1" applyAlignment="1">
      <alignment horizontal="center"/>
    </xf>
    <xf numFmtId="0" fontId="4" fillId="0" borderId="0" xfId="0" applyFont="1"/>
    <xf numFmtId="0" fontId="8" fillId="4" borderId="8" xfId="0" applyFont="1" applyFill="1" applyBorder="1"/>
    <xf numFmtId="2" fontId="11" fillId="0" borderId="0" xfId="0" applyNumberFormat="1" applyFont="1"/>
    <xf numFmtId="0" fontId="4" fillId="4" borderId="7" xfId="0" applyFont="1" applyFill="1" applyBorder="1"/>
    <xf numFmtId="9" fontId="12" fillId="3" borderId="18" xfId="2" applyFont="1" applyFill="1" applyBorder="1" applyAlignment="1" applyProtection="1">
      <alignment horizontal="center"/>
    </xf>
    <xf numFmtId="169" fontId="8" fillId="3" borderId="7" xfId="1" applyFont="1" applyFill="1" applyBorder="1" applyAlignment="1" applyProtection="1">
      <alignment horizontal="center"/>
    </xf>
    <xf numFmtId="4" fontId="3" fillId="0" borderId="0" xfId="0" applyNumberFormat="1" applyFont="1"/>
    <xf numFmtId="9" fontId="12" fillId="3" borderId="7" xfId="2" applyFont="1" applyFill="1" applyBorder="1" applyAlignment="1" applyProtection="1">
      <alignment horizontal="center"/>
    </xf>
    <xf numFmtId="2" fontId="3" fillId="0" borderId="0" xfId="0" applyNumberFormat="1" applyFont="1"/>
    <xf numFmtId="0" fontId="4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169" fontId="12" fillId="3" borderId="7" xfId="1" applyFont="1" applyFill="1" applyBorder="1" applyAlignment="1" applyProtection="1">
      <alignment horizontal="center"/>
    </xf>
    <xf numFmtId="169" fontId="8" fillId="3" borderId="18" xfId="1" applyFont="1" applyFill="1" applyBorder="1" applyProtection="1"/>
    <xf numFmtId="0" fontId="4" fillId="4" borderId="20" xfId="0" applyFont="1" applyFill="1" applyBorder="1"/>
    <xf numFmtId="0" fontId="3" fillId="4" borderId="10" xfId="0" applyFont="1" applyFill="1" applyBorder="1"/>
    <xf numFmtId="0" fontId="9" fillId="4" borderId="12" xfId="0" applyFont="1" applyFill="1" applyBorder="1"/>
    <xf numFmtId="0" fontId="7" fillId="0" borderId="0" xfId="0" applyFont="1" applyAlignment="1">
      <alignment horizontal="left"/>
    </xf>
    <xf numFmtId="9" fontId="12" fillId="3" borderId="7" xfId="2" applyFont="1" applyFill="1" applyBorder="1" applyAlignment="1" applyProtection="1">
      <alignment horizontal="right"/>
    </xf>
    <xf numFmtId="0" fontId="10" fillId="0" borderId="0" xfId="0" applyFont="1"/>
    <xf numFmtId="0" fontId="4" fillId="5" borderId="7" xfId="0" applyFont="1" applyFill="1" applyBorder="1" applyAlignment="1">
      <alignment horizontal="center"/>
    </xf>
    <xf numFmtId="167" fontId="4" fillId="4" borderId="2" xfId="0" applyNumberFormat="1" applyFont="1" applyFill="1" applyBorder="1" applyAlignment="1">
      <alignment horizontal="center"/>
    </xf>
    <xf numFmtId="167" fontId="4" fillId="4" borderId="6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14" xfId="0" applyFont="1" applyFill="1" applyBorder="1"/>
    <xf numFmtId="167" fontId="3" fillId="4" borderId="0" xfId="0" applyNumberFormat="1" applyFont="1" applyFill="1" applyAlignment="1">
      <alignment horizontal="center"/>
    </xf>
    <xf numFmtId="167" fontId="3" fillId="4" borderId="10" xfId="0" applyNumberFormat="1" applyFont="1" applyFill="1" applyBorder="1" applyAlignment="1">
      <alignment horizontal="center"/>
    </xf>
    <xf numFmtId="0" fontId="4" fillId="4" borderId="21" xfId="0" applyFont="1" applyFill="1" applyBorder="1"/>
    <xf numFmtId="167" fontId="3" fillId="4" borderId="6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1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170" fontId="3" fillId="4" borderId="4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right"/>
    </xf>
    <xf numFmtId="4" fontId="3" fillId="4" borderId="7" xfId="0" applyNumberFormat="1" applyFont="1" applyFill="1" applyBorder="1"/>
    <xf numFmtId="169" fontId="3" fillId="4" borderId="7" xfId="1" applyFont="1" applyFill="1" applyBorder="1" applyProtection="1"/>
    <xf numFmtId="169" fontId="3" fillId="6" borderId="7" xfId="1" applyFont="1" applyFill="1" applyBorder="1" applyProtection="1"/>
    <xf numFmtId="0" fontId="4" fillId="4" borderId="6" xfId="0" applyFont="1" applyFill="1" applyBorder="1" applyAlignment="1">
      <alignment horizontal="right"/>
    </xf>
    <xf numFmtId="4" fontId="3" fillId="4" borderId="0" xfId="0" applyNumberFormat="1" applyFont="1" applyFill="1"/>
    <xf numFmtId="169" fontId="4" fillId="4" borderId="22" xfId="1" applyFont="1" applyFill="1" applyBorder="1" applyAlignment="1" applyProtection="1">
      <alignment horizontal="right"/>
    </xf>
    <xf numFmtId="171" fontId="14" fillId="3" borderId="7" xfId="1" applyNumberFormat="1" applyFont="1" applyFill="1" applyBorder="1" applyAlignment="1" applyProtection="1">
      <alignment horizontal="right"/>
    </xf>
    <xf numFmtId="0" fontId="15" fillId="4" borderId="0" xfId="0" applyFont="1" applyFill="1"/>
    <xf numFmtId="0" fontId="3" fillId="4" borderId="6" xfId="0" applyFont="1" applyFill="1" applyBorder="1"/>
    <xf numFmtId="0" fontId="3" fillId="4" borderId="0" xfId="0" applyFont="1" applyFill="1" applyAlignment="1">
      <alignment horizontal="right"/>
    </xf>
    <xf numFmtId="169" fontId="3" fillId="4" borderId="0" xfId="1" applyFont="1" applyFill="1" applyBorder="1" applyProtection="1"/>
    <xf numFmtId="0" fontId="13" fillId="4" borderId="6" xfId="0" applyFont="1" applyFill="1" applyBorder="1"/>
    <xf numFmtId="0" fontId="3" fillId="4" borderId="7" xfId="0" applyFont="1" applyFill="1" applyBorder="1" applyAlignment="1">
      <alignment horizontal="center"/>
    </xf>
    <xf numFmtId="169" fontId="3" fillId="4" borderId="7" xfId="1" applyFont="1" applyFill="1" applyBorder="1" applyAlignment="1" applyProtection="1">
      <alignment horizontal="center"/>
    </xf>
    <xf numFmtId="0" fontId="4" fillId="4" borderId="0" xfId="0" applyFont="1" applyFill="1" applyAlignment="1">
      <alignment horizontal="right"/>
    </xf>
    <xf numFmtId="169" fontId="4" fillId="4" borderId="0" xfId="1" applyFont="1" applyFill="1" applyBorder="1" applyProtection="1"/>
    <xf numFmtId="0" fontId="4" fillId="4" borderId="6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10" fontId="3" fillId="4" borderId="15" xfId="2" applyNumberFormat="1" applyFont="1" applyFill="1" applyBorder="1" applyAlignment="1" applyProtection="1">
      <alignment horizontal="right"/>
    </xf>
    <xf numFmtId="169" fontId="3" fillId="4" borderId="7" xfId="1" applyFont="1" applyFill="1" applyBorder="1" applyAlignment="1" applyProtection="1">
      <alignment horizontal="right"/>
    </xf>
    <xf numFmtId="43" fontId="3" fillId="0" borderId="0" xfId="0" applyNumberFormat="1" applyFont="1"/>
    <xf numFmtId="0" fontId="3" fillId="0" borderId="0" xfId="0" applyFont="1" applyAlignment="1">
      <alignment horizontal="left"/>
    </xf>
    <xf numFmtId="0" fontId="10" fillId="4" borderId="8" xfId="0" applyFont="1" applyFill="1" applyBorder="1"/>
    <xf numFmtId="170" fontId="3" fillId="4" borderId="0" xfId="0" applyNumberFormat="1" applyFont="1" applyFill="1"/>
    <xf numFmtId="170" fontId="3" fillId="4" borderId="7" xfId="0" applyNumberFormat="1" applyFont="1" applyFill="1" applyBorder="1" applyAlignment="1">
      <alignment horizontal="center"/>
    </xf>
    <xf numFmtId="0" fontId="4" fillId="4" borderId="6" xfId="0" applyFont="1" applyFill="1" applyBorder="1"/>
    <xf numFmtId="0" fontId="4" fillId="4" borderId="9" xfId="0" applyFont="1" applyFill="1" applyBorder="1"/>
    <xf numFmtId="0" fontId="3" fillId="4" borderId="10" xfId="0" applyFont="1" applyFill="1" applyBorder="1" applyAlignment="1">
      <alignment horizontal="right"/>
    </xf>
    <xf numFmtId="4" fontId="3" fillId="4" borderId="10" xfId="0" applyNumberFormat="1" applyFont="1" applyFill="1" applyBorder="1"/>
    <xf numFmtId="169" fontId="4" fillId="4" borderId="10" xfId="1" applyFont="1" applyFill="1" applyBorder="1" applyProtection="1"/>
    <xf numFmtId="170" fontId="3" fillId="0" borderId="0" xfId="0" applyNumberFormat="1" applyFont="1"/>
    <xf numFmtId="0" fontId="3" fillId="4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/>
    </xf>
    <xf numFmtId="169" fontId="3" fillId="6" borderId="7" xfId="1" applyFont="1" applyFill="1" applyBorder="1" applyAlignment="1" applyProtection="1">
      <alignment horizontal="center"/>
    </xf>
    <xf numFmtId="4" fontId="7" fillId="4" borderId="8" xfId="0" applyNumberFormat="1" applyFont="1" applyFill="1" applyBorder="1"/>
    <xf numFmtId="4" fontId="7" fillId="0" borderId="0" xfId="0" applyNumberFormat="1" applyFont="1"/>
    <xf numFmtId="0" fontId="15" fillId="4" borderId="8" xfId="0" applyFont="1" applyFill="1" applyBorder="1"/>
    <xf numFmtId="8" fontId="9" fillId="0" borderId="0" xfId="0" applyNumberFormat="1" applyFont="1"/>
    <xf numFmtId="4" fontId="15" fillId="4" borderId="8" xfId="0" applyNumberFormat="1" applyFont="1" applyFill="1" applyBorder="1"/>
    <xf numFmtId="0" fontId="15" fillId="0" borderId="0" xfId="0" applyFont="1"/>
    <xf numFmtId="170" fontId="4" fillId="4" borderId="0" xfId="0" applyNumberFormat="1" applyFont="1" applyFill="1"/>
    <xf numFmtId="0" fontId="3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Continuous"/>
    </xf>
    <xf numFmtId="0" fontId="3" fillId="4" borderId="0" xfId="0" applyFont="1" applyFill="1" applyAlignment="1">
      <alignment horizontal="centerContinuous"/>
    </xf>
    <xf numFmtId="2" fontId="3" fillId="4" borderId="7" xfId="0" applyNumberFormat="1" applyFont="1" applyFill="1" applyBorder="1" applyAlignment="1">
      <alignment horizontal="center" vertical="center"/>
    </xf>
    <xf numFmtId="171" fontId="3" fillId="4" borderId="7" xfId="1" applyNumberFormat="1" applyFont="1" applyFill="1" applyBorder="1" applyAlignment="1" applyProtection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171" fontId="3" fillId="4" borderId="19" xfId="0" applyNumberFormat="1" applyFont="1" applyFill="1" applyBorder="1" applyAlignment="1">
      <alignment horizontal="center" vertical="center"/>
    </xf>
    <xf numFmtId="0" fontId="16" fillId="4" borderId="8" xfId="0" applyFont="1" applyFill="1" applyBorder="1"/>
    <xf numFmtId="0" fontId="3" fillId="4" borderId="9" xfId="0" applyFont="1" applyFill="1" applyBorder="1"/>
    <xf numFmtId="170" fontId="3" fillId="4" borderId="10" xfId="0" applyNumberFormat="1" applyFont="1" applyFill="1" applyBorder="1"/>
    <xf numFmtId="169" fontId="3" fillId="4" borderId="10" xfId="1" applyFont="1" applyFill="1" applyBorder="1" applyProtection="1"/>
    <xf numFmtId="0" fontId="3" fillId="7" borderId="2" xfId="0" applyFont="1" applyFill="1" applyBorder="1"/>
    <xf numFmtId="0" fontId="3" fillId="7" borderId="3" xfId="0" applyFont="1" applyFill="1" applyBorder="1"/>
    <xf numFmtId="169" fontId="3" fillId="7" borderId="5" xfId="1" applyFont="1" applyFill="1" applyBorder="1" applyProtection="1"/>
    <xf numFmtId="0" fontId="4" fillId="7" borderId="6" xfId="0" applyFont="1" applyFill="1" applyBorder="1" applyAlignment="1">
      <alignment horizontal="left"/>
    </xf>
    <xf numFmtId="0" fontId="3" fillId="7" borderId="0" xfId="0" applyFont="1" applyFill="1"/>
    <xf numFmtId="0" fontId="15" fillId="7" borderId="8" xfId="0" applyFont="1" applyFill="1" applyBorder="1"/>
    <xf numFmtId="0" fontId="3" fillId="7" borderId="6" xfId="0" applyFont="1" applyFill="1" applyBorder="1" applyAlignment="1">
      <alignment horizontal="center"/>
    </xf>
    <xf numFmtId="169" fontId="3" fillId="7" borderId="8" xfId="1" applyFont="1" applyFill="1" applyBorder="1" applyProtection="1"/>
    <xf numFmtId="0" fontId="3" fillId="7" borderId="9" xfId="0" applyFont="1" applyFill="1" applyBorder="1" applyAlignment="1">
      <alignment horizontal="center"/>
    </xf>
    <xf numFmtId="0" fontId="3" fillId="7" borderId="10" xfId="0" applyFont="1" applyFill="1" applyBorder="1"/>
    <xf numFmtId="0" fontId="3" fillId="7" borderId="12" xfId="0" applyFont="1" applyFill="1" applyBorder="1"/>
    <xf numFmtId="0" fontId="4" fillId="4" borderId="9" xfId="0" applyFont="1" applyFill="1" applyBorder="1" applyAlignment="1">
      <alignment horizontal="left"/>
    </xf>
    <xf numFmtId="170" fontId="3" fillId="4" borderId="3" xfId="0" applyNumberFormat="1" applyFont="1" applyFill="1" applyBorder="1"/>
    <xf numFmtId="0" fontId="7" fillId="4" borderId="6" xfId="0" applyFont="1" applyFill="1" applyBorder="1" applyAlignment="1">
      <alignment horizontal="left"/>
    </xf>
    <xf numFmtId="9" fontId="4" fillId="7" borderId="7" xfId="2" applyFont="1" applyFill="1" applyBorder="1" applyProtection="1"/>
    <xf numFmtId="0" fontId="10" fillId="4" borderId="6" xfId="0" applyFont="1" applyFill="1" applyBorder="1"/>
    <xf numFmtId="0" fontId="7" fillId="4" borderId="0" xfId="0" applyFont="1" applyFill="1" applyAlignment="1">
      <alignment horizontal="left"/>
    </xf>
    <xf numFmtId="0" fontId="10" fillId="4" borderId="0" xfId="0" applyFont="1" applyFill="1"/>
    <xf numFmtId="0" fontId="7" fillId="4" borderId="6" xfId="0" applyFont="1" applyFill="1" applyBorder="1" applyAlignment="1">
      <alignment horizontal="right"/>
    </xf>
    <xf numFmtId="169" fontId="3" fillId="5" borderId="19" xfId="1" applyFont="1" applyFill="1" applyBorder="1" applyProtection="1"/>
    <xf numFmtId="2" fontId="4" fillId="0" borderId="7" xfId="1" applyNumberFormat="1" applyFont="1" applyFill="1" applyBorder="1" applyProtection="1"/>
    <xf numFmtId="0" fontId="7" fillId="4" borderId="0" xfId="0" applyFont="1" applyFill="1"/>
    <xf numFmtId="169" fontId="4" fillId="0" borderId="7" xfId="1" applyFont="1" applyFill="1" applyBorder="1" applyProtection="1"/>
    <xf numFmtId="169" fontId="4" fillId="0" borderId="19" xfId="1" applyFont="1" applyFill="1" applyBorder="1" applyProtection="1"/>
    <xf numFmtId="169" fontId="12" fillId="3" borderId="11" xfId="1" applyFont="1" applyFill="1" applyBorder="1" applyProtection="1"/>
    <xf numFmtId="0" fontId="3" fillId="4" borderId="6" xfId="0" applyFont="1" applyFill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172" fontId="8" fillId="3" borderId="11" xfId="1" applyNumberFormat="1" applyFont="1" applyFill="1" applyBorder="1" applyProtection="1"/>
    <xf numFmtId="172" fontId="3" fillId="0" borderId="7" xfId="1" applyNumberFormat="1" applyFont="1" applyFill="1" applyBorder="1" applyProtection="1"/>
    <xf numFmtId="0" fontId="15" fillId="4" borderId="0" xfId="0" applyFont="1" applyFill="1" applyAlignment="1">
      <alignment horizontal="left"/>
    </xf>
    <xf numFmtId="0" fontId="7" fillId="4" borderId="6" xfId="0" applyFont="1" applyFill="1" applyBorder="1"/>
    <xf numFmtId="169" fontId="12" fillId="3" borderId="7" xfId="1" applyFont="1" applyFill="1" applyBorder="1" applyProtection="1"/>
    <xf numFmtId="43" fontId="15" fillId="4" borderId="0" xfId="0" applyNumberFormat="1" applyFont="1" applyFill="1"/>
    <xf numFmtId="169" fontId="3" fillId="0" borderId="7" xfId="1" applyFont="1" applyFill="1" applyBorder="1" applyProtection="1"/>
    <xf numFmtId="169" fontId="3" fillId="5" borderId="7" xfId="1" applyFont="1" applyFill="1" applyBorder="1" applyProtection="1"/>
    <xf numFmtId="43" fontId="3" fillId="6" borderId="7" xfId="1" applyNumberFormat="1" applyFont="1" applyFill="1" applyBorder="1" applyProtection="1"/>
    <xf numFmtId="171" fontId="14" fillId="3" borderId="0" xfId="1" applyNumberFormat="1" applyFont="1" applyFill="1" applyBorder="1" applyAlignment="1" applyProtection="1">
      <alignment horizontal="right"/>
    </xf>
    <xf numFmtId="169" fontId="14" fillId="3" borderId="7" xfId="1" applyFont="1" applyFill="1" applyBorder="1" applyAlignment="1" applyProtection="1">
      <alignment horizontal="right"/>
    </xf>
    <xf numFmtId="43" fontId="3" fillId="4" borderId="8" xfId="0" applyNumberFormat="1" applyFont="1" applyFill="1" applyBorder="1"/>
    <xf numFmtId="0" fontId="10" fillId="4" borderId="9" xfId="0" applyFont="1" applyFill="1" applyBorder="1"/>
    <xf numFmtId="0" fontId="15" fillId="4" borderId="10" xfId="0" applyFont="1" applyFill="1" applyBorder="1"/>
    <xf numFmtId="169" fontId="3" fillId="0" borderId="18" xfId="1" applyFont="1" applyFill="1" applyBorder="1" applyProtection="1"/>
    <xf numFmtId="170" fontId="3" fillId="0" borderId="7" xfId="0" applyNumberFormat="1" applyFont="1" applyBorder="1"/>
    <xf numFmtId="0" fontId="17" fillId="4" borderId="0" xfId="0" applyFont="1" applyFill="1" applyAlignment="1">
      <alignment horizontal="right"/>
    </xf>
    <xf numFmtId="0" fontId="18" fillId="4" borderId="0" xfId="0" applyFont="1" applyFill="1"/>
    <xf numFmtId="0" fontId="19" fillId="4" borderId="0" xfId="0" applyFont="1" applyFill="1"/>
    <xf numFmtId="169" fontId="14" fillId="0" borderId="0" xfId="1" applyFont="1" applyFill="1" applyBorder="1" applyAlignment="1" applyProtection="1">
      <alignment horizontal="right"/>
    </xf>
    <xf numFmtId="0" fontId="3" fillId="4" borderId="2" xfId="0" applyFont="1" applyFill="1" applyBorder="1"/>
    <xf numFmtId="169" fontId="3" fillId="4" borderId="8" xfId="0" applyNumberFormat="1" applyFont="1" applyFill="1" applyBorder="1"/>
    <xf numFmtId="4" fontId="4" fillId="4" borderId="7" xfId="0" applyNumberFormat="1" applyFont="1" applyFill="1" applyBorder="1" applyAlignment="1">
      <alignment horizontal="center"/>
    </xf>
    <xf numFmtId="169" fontId="4" fillId="4" borderId="7" xfId="1" applyFont="1" applyFill="1" applyBorder="1" applyProtection="1"/>
    <xf numFmtId="10" fontId="3" fillId="4" borderId="7" xfId="2" applyNumberFormat="1" applyFont="1" applyFill="1" applyBorder="1" applyProtection="1"/>
    <xf numFmtId="0" fontId="20" fillId="0" borderId="0" xfId="0" applyFont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15" fillId="4" borderId="3" xfId="0" applyFont="1" applyFill="1" applyBorder="1"/>
    <xf numFmtId="0" fontId="7" fillId="4" borderId="3" xfId="0" applyFont="1" applyFill="1" applyBorder="1" applyAlignment="1">
      <alignment horizontal="right"/>
    </xf>
    <xf numFmtId="169" fontId="4" fillId="9" borderId="7" xfId="1" applyFont="1" applyFill="1" applyBorder="1" applyProtection="1"/>
    <xf numFmtId="0" fontId="7" fillId="4" borderId="0" xfId="0" applyFont="1" applyFill="1" applyAlignment="1">
      <alignment horizontal="right"/>
    </xf>
    <xf numFmtId="169" fontId="3" fillId="10" borderId="7" xfId="1" applyFont="1" applyFill="1" applyBorder="1" applyProtection="1"/>
    <xf numFmtId="0" fontId="3" fillId="4" borderId="8" xfId="0" applyFont="1" applyFill="1" applyBorder="1" applyAlignment="1">
      <alignment horizontal="right"/>
    </xf>
    <xf numFmtId="169" fontId="11" fillId="0" borderId="7" xfId="1" applyFont="1" applyFill="1" applyBorder="1" applyProtection="1"/>
    <xf numFmtId="169" fontId="17" fillId="0" borderId="7" xfId="1" applyFont="1" applyFill="1" applyBorder="1" applyProtection="1"/>
    <xf numFmtId="0" fontId="18" fillId="4" borderId="6" xfId="0" applyFont="1" applyFill="1" applyBorder="1" applyAlignment="1">
      <alignment horizontal="right"/>
    </xf>
    <xf numFmtId="0" fontId="18" fillId="4" borderId="0" xfId="0" applyFont="1" applyFill="1" applyAlignment="1">
      <alignment horizontal="right"/>
    </xf>
    <xf numFmtId="0" fontId="4" fillId="0" borderId="0" xfId="0" applyFont="1" applyAlignment="1">
      <alignment horizontal="centerContinuous"/>
    </xf>
    <xf numFmtId="170" fontId="4" fillId="0" borderId="0" xfId="0" applyNumberFormat="1" applyFont="1" applyAlignment="1">
      <alignment horizontal="center"/>
    </xf>
    <xf numFmtId="2" fontId="4" fillId="4" borderId="5" xfId="0" applyNumberFormat="1" applyFont="1" applyFill="1" applyBorder="1"/>
    <xf numFmtId="0" fontId="4" fillId="4" borderId="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0" fontId="4" fillId="4" borderId="7" xfId="2" applyNumberFormat="1" applyFont="1" applyFill="1" applyBorder="1" applyAlignment="1" applyProtection="1">
      <alignment horizontal="center"/>
    </xf>
    <xf numFmtId="10" fontId="4" fillId="4" borderId="18" xfId="2" applyNumberFormat="1" applyFont="1" applyFill="1" applyBorder="1" applyAlignment="1" applyProtection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4" fontId="4" fillId="4" borderId="0" xfId="0" applyNumberFormat="1" applyFont="1" applyFill="1" applyAlignment="1">
      <alignment horizontal="center"/>
    </xf>
    <xf numFmtId="0" fontId="22" fillId="4" borderId="0" xfId="0" applyFont="1" applyFill="1"/>
    <xf numFmtId="0" fontId="18" fillId="0" borderId="0" xfId="0" applyFont="1" applyAlignment="1">
      <alignment horizontal="center"/>
    </xf>
    <xf numFmtId="0" fontId="4" fillId="4" borderId="9" xfId="0" applyFont="1" applyFill="1" applyBorder="1" applyAlignment="1">
      <alignment horizontal="centerContinuous"/>
    </xf>
    <xf numFmtId="0" fontId="4" fillId="4" borderId="10" xfId="0" applyFont="1" applyFill="1" applyBorder="1" applyAlignment="1">
      <alignment horizontal="centerContinuous"/>
    </xf>
    <xf numFmtId="169" fontId="4" fillId="4" borderId="10" xfId="1" applyFont="1" applyFill="1" applyBorder="1" applyAlignment="1" applyProtection="1">
      <alignment horizontal="right"/>
    </xf>
    <xf numFmtId="0" fontId="15" fillId="4" borderId="12" xfId="0" applyFont="1" applyFill="1" applyBorder="1"/>
    <xf numFmtId="169" fontId="23" fillId="0" borderId="0" xfId="1" applyFont="1" applyFill="1" applyBorder="1" applyProtection="1"/>
    <xf numFmtId="169" fontId="4" fillId="0" borderId="0" xfId="0" applyNumberFormat="1" applyFont="1" applyAlignment="1">
      <alignment horizontal="left"/>
    </xf>
    <xf numFmtId="169" fontId="3" fillId="0" borderId="0" xfId="1" applyFont="1" applyFill="1" applyProtection="1"/>
    <xf numFmtId="169" fontId="12" fillId="3" borderId="4" xfId="1" applyFont="1" applyFill="1" applyBorder="1" applyProtection="1"/>
    <xf numFmtId="2" fontId="17" fillId="0" borderId="0" xfId="0" applyNumberFormat="1" applyFont="1"/>
    <xf numFmtId="0" fontId="3" fillId="4" borderId="26" xfId="0" applyFont="1" applyFill="1" applyBorder="1" applyAlignment="1">
      <alignment horizontal="left"/>
    </xf>
    <xf numFmtId="9" fontId="12" fillId="3" borderId="0" xfId="2" applyFont="1" applyFill="1" applyBorder="1" applyAlignment="1" applyProtection="1">
      <alignment horizontal="center"/>
    </xf>
    <xf numFmtId="169" fontId="3" fillId="4" borderId="10" xfId="0" applyNumberFormat="1" applyFont="1" applyFill="1" applyBorder="1" applyAlignment="1">
      <alignment horizontal="left"/>
    </xf>
    <xf numFmtId="43" fontId="8" fillId="3" borderId="7" xfId="1" applyNumberFormat="1" applyFont="1" applyFill="1" applyBorder="1" applyProtection="1"/>
    <xf numFmtId="169" fontId="3" fillId="4" borderId="22" xfId="1" applyFont="1" applyFill="1" applyBorder="1" applyProtection="1"/>
    <xf numFmtId="2" fontId="10" fillId="0" borderId="0" xfId="0" applyNumberFormat="1" applyFont="1"/>
    <xf numFmtId="43" fontId="3" fillId="4" borderId="7" xfId="1" applyNumberFormat="1" applyFont="1" applyFill="1" applyBorder="1" applyProtection="1"/>
    <xf numFmtId="0" fontId="15" fillId="0" borderId="0" xfId="0" applyFont="1" applyAlignment="1">
      <alignment horizontal="center"/>
    </xf>
    <xf numFmtId="4" fontId="9" fillId="4" borderId="8" xfId="0" applyNumberFormat="1" applyFont="1" applyFill="1" applyBorder="1"/>
    <xf numFmtId="4" fontId="9" fillId="0" borderId="0" xfId="0" applyNumberFormat="1" applyFont="1"/>
    <xf numFmtId="171" fontId="14" fillId="3" borderId="18" xfId="1" applyNumberFormat="1" applyFont="1" applyFill="1" applyBorder="1" applyAlignment="1" applyProtection="1">
      <alignment horizontal="right"/>
    </xf>
    <xf numFmtId="8" fontId="3" fillId="0" borderId="0" xfId="0" applyNumberFormat="1" applyFont="1"/>
    <xf numFmtId="171" fontId="3" fillId="4" borderId="7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169" fontId="3" fillId="4" borderId="8" xfId="1" applyFont="1" applyFill="1" applyBorder="1" applyProtection="1"/>
    <xf numFmtId="169" fontId="3" fillId="0" borderId="0" xfId="1" applyFont="1" applyFill="1" applyBorder="1" applyProtection="1"/>
    <xf numFmtId="2" fontId="4" fillId="7" borderId="7" xfId="2" applyNumberFormat="1" applyFont="1" applyFill="1" applyBorder="1" applyProtection="1"/>
    <xf numFmtId="169" fontId="3" fillId="4" borderId="0" xfId="0" applyNumberFormat="1" applyFont="1" applyFill="1"/>
    <xf numFmtId="169" fontId="6" fillId="4" borderId="0" xfId="1" applyFont="1" applyFill="1" applyBorder="1" applyProtection="1"/>
    <xf numFmtId="0" fontId="18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19" fillId="0" borderId="0" xfId="0" applyFont="1" applyAlignment="1">
      <alignment horizontal="left"/>
    </xf>
    <xf numFmtId="0" fontId="24" fillId="0" borderId="0" xfId="0" applyFont="1"/>
    <xf numFmtId="0" fontId="4" fillId="5" borderId="7" xfId="0" applyFont="1" applyFill="1" applyBorder="1" applyAlignment="1">
      <alignment horizontal="left"/>
    </xf>
    <xf numFmtId="43" fontId="3" fillId="4" borderId="0" xfId="0" applyNumberFormat="1" applyFont="1" applyFill="1"/>
    <xf numFmtId="0" fontId="13" fillId="4" borderId="6" xfId="0" applyFont="1" applyFill="1" applyBorder="1" applyAlignment="1">
      <alignment horizontal="center"/>
    </xf>
    <xf numFmtId="170" fontId="3" fillId="0" borderId="0" xfId="0" applyNumberFormat="1" applyFont="1" applyAlignment="1">
      <alignment horizontal="center"/>
    </xf>
    <xf numFmtId="169" fontId="4" fillId="4" borderId="14" xfId="1" applyFont="1" applyFill="1" applyBorder="1" applyAlignment="1" applyProtection="1">
      <alignment horizontal="right"/>
    </xf>
    <xf numFmtId="168" fontId="3" fillId="4" borderId="8" xfId="0" applyNumberFormat="1" applyFont="1" applyFill="1" applyBorder="1"/>
    <xf numFmtId="171" fontId="3" fillId="4" borderId="7" xfId="0" applyNumberFormat="1" applyFont="1" applyFill="1" applyBorder="1" applyAlignment="1">
      <alignment horizontal="center"/>
    </xf>
    <xf numFmtId="169" fontId="3" fillId="6" borderId="7" xfId="1" applyFont="1" applyFill="1" applyBorder="1" applyAlignment="1">
      <alignment horizontal="center"/>
    </xf>
    <xf numFmtId="4" fontId="3" fillId="4" borderId="0" xfId="0" applyNumberFormat="1" applyFont="1" applyFill="1" applyAlignment="1">
      <alignment horizontal="center"/>
    </xf>
    <xf numFmtId="169" fontId="3" fillId="6" borderId="0" xfId="1" applyFont="1" applyFill="1" applyBorder="1" applyProtection="1"/>
    <xf numFmtId="170" fontId="4" fillId="0" borderId="0" xfId="0" applyNumberFormat="1" applyFont="1"/>
    <xf numFmtId="10" fontId="4" fillId="0" borderId="7" xfId="2" applyNumberFormat="1" applyFont="1" applyFill="1" applyBorder="1" applyAlignment="1" applyProtection="1">
      <alignment horizontal="center"/>
    </xf>
    <xf numFmtId="165" fontId="8" fillId="11" borderId="7" xfId="1" applyNumberFormat="1" applyFont="1" applyFill="1" applyBorder="1" applyProtection="1"/>
    <xf numFmtId="169" fontId="12" fillId="3" borderId="18" xfId="1" applyFont="1" applyFill="1" applyBorder="1" applyProtection="1"/>
    <xf numFmtId="169" fontId="8" fillId="3" borderId="7" xfId="1" applyFont="1" applyFill="1" applyBorder="1" applyAlignment="1" applyProtection="1"/>
    <xf numFmtId="169" fontId="8" fillId="3" borderId="18" xfId="1" applyFont="1" applyFill="1" applyBorder="1" applyAlignment="1" applyProtection="1">
      <alignment horizontal="center"/>
    </xf>
    <xf numFmtId="0" fontId="0" fillId="0" borderId="0" xfId="0" applyProtection="1">
      <protection hidden="1"/>
    </xf>
    <xf numFmtId="0" fontId="25" fillId="0" borderId="7" xfId="4" applyFont="1" applyBorder="1" applyAlignment="1" applyProtection="1">
      <alignment horizontal="center" vertical="center"/>
      <protection hidden="1"/>
    </xf>
    <xf numFmtId="0" fontId="25" fillId="0" borderId="15" xfId="4" applyFont="1" applyBorder="1" applyAlignment="1" applyProtection="1">
      <alignment horizontal="center" vertical="center"/>
      <protection hidden="1"/>
    </xf>
    <xf numFmtId="0" fontId="25" fillId="0" borderId="17" xfId="4" applyFont="1" applyBorder="1" applyAlignment="1" applyProtection="1">
      <alignment horizontal="center" vertical="center"/>
      <protection hidden="1"/>
    </xf>
    <xf numFmtId="0" fontId="26" fillId="0" borderId="7" xfId="4" applyFont="1" applyBorder="1" applyAlignment="1" applyProtection="1">
      <alignment horizontal="center" vertical="center" wrapText="1"/>
      <protection hidden="1"/>
    </xf>
    <xf numFmtId="0" fontId="27" fillId="0" borderId="7" xfId="4" applyFont="1" applyBorder="1" applyAlignment="1" applyProtection="1">
      <alignment horizontal="center" vertical="center"/>
      <protection hidden="1"/>
    </xf>
    <xf numFmtId="4" fontId="25" fillId="0" borderId="7" xfId="4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30" fillId="0" borderId="23" xfId="0" applyFont="1" applyBorder="1"/>
    <xf numFmtId="0" fontId="0" fillId="0" borderId="28" xfId="0" applyBorder="1"/>
    <xf numFmtId="0" fontId="0" fillId="0" borderId="22" xfId="0" applyBorder="1"/>
    <xf numFmtId="0" fontId="30" fillId="0" borderId="28" xfId="0" applyFont="1" applyBorder="1"/>
    <xf numFmtId="0" fontId="30" fillId="0" borderId="1" xfId="0" applyFont="1" applyBorder="1"/>
    <xf numFmtId="0" fontId="0" fillId="0" borderId="14" xfId="0" applyBorder="1"/>
    <xf numFmtId="171" fontId="30" fillId="0" borderId="0" xfId="6" applyNumberFormat="1" applyFont="1" applyFill="1"/>
    <xf numFmtId="0" fontId="0" fillId="0" borderId="1" xfId="0" applyBorder="1"/>
    <xf numFmtId="0" fontId="30" fillId="0" borderId="0" xfId="0" applyFont="1" applyAlignment="1">
      <alignment horizontal="right"/>
    </xf>
    <xf numFmtId="171" fontId="0" fillId="0" borderId="0" xfId="6" applyNumberFormat="1" applyFont="1" applyFill="1"/>
    <xf numFmtId="2" fontId="0" fillId="0" borderId="0" xfId="0" applyNumberFormat="1"/>
    <xf numFmtId="0" fontId="30" fillId="0" borderId="0" xfId="0" applyFont="1"/>
    <xf numFmtId="171" fontId="30" fillId="0" borderId="0" xfId="6" applyNumberFormat="1" applyFont="1" applyFill="1" applyAlignment="1">
      <alignment vertical="center"/>
    </xf>
    <xf numFmtId="0" fontId="0" fillId="0" borderId="1" xfId="0" applyBorder="1" applyProtection="1">
      <protection hidden="1"/>
    </xf>
    <xf numFmtId="0" fontId="0" fillId="0" borderId="1" xfId="3" applyFont="1" applyBorder="1" applyAlignment="1">
      <alignment horizontal="left"/>
    </xf>
    <xf numFmtId="0" fontId="0" fillId="0" borderId="1" xfId="3" applyFont="1" applyBorder="1" applyAlignment="1">
      <alignment vertical="center"/>
    </xf>
    <xf numFmtId="0" fontId="0" fillId="0" borderId="24" xfId="0" applyBorder="1"/>
    <xf numFmtId="0" fontId="30" fillId="0" borderId="27" xfId="0" applyFont="1" applyBorder="1"/>
    <xf numFmtId="0" fontId="0" fillId="0" borderId="29" xfId="0" applyBorder="1"/>
    <xf numFmtId="171" fontId="30" fillId="0" borderId="0" xfId="6" applyNumberFormat="1" applyFont="1" applyFill="1" applyBorder="1" applyAlignment="1" applyProtection="1">
      <alignment vertical="center"/>
    </xf>
    <xf numFmtId="0" fontId="0" fillId="0" borderId="28" xfId="0" applyBorder="1" applyAlignment="1">
      <alignment horizontal="left"/>
    </xf>
    <xf numFmtId="0" fontId="0" fillId="0" borderId="1" xfId="0" applyBorder="1" applyAlignment="1">
      <alignment vertical="center"/>
    </xf>
    <xf numFmtId="171" fontId="30" fillId="0" borderId="0" xfId="3" applyNumberFormat="1" applyFont="1" applyAlignment="1">
      <alignment vertical="center"/>
    </xf>
    <xf numFmtId="0" fontId="0" fillId="0" borderId="24" xfId="3" applyFont="1" applyBorder="1" applyAlignment="1">
      <alignment horizontal="left" vertical="center"/>
    </xf>
    <xf numFmtId="171" fontId="30" fillId="0" borderId="27" xfId="6" applyNumberFormat="1" applyFont="1" applyFill="1" applyBorder="1"/>
    <xf numFmtId="0" fontId="30" fillId="0" borderId="23" xfId="3" applyFont="1" applyBorder="1" applyAlignment="1">
      <alignment horizontal="left" vertical="center"/>
    </xf>
    <xf numFmtId="0" fontId="0" fillId="0" borderId="0" xfId="3" applyFont="1" applyAlignment="1">
      <alignment horizontal="left"/>
    </xf>
    <xf numFmtId="0" fontId="0" fillId="0" borderId="0" xfId="3" applyFont="1" applyAlignment="1">
      <alignment vertical="center"/>
    </xf>
    <xf numFmtId="171" fontId="0" fillId="0" borderId="0" xfId="6" applyNumberFormat="1" applyFont="1" applyFill="1" applyAlignment="1">
      <alignment horizontal="right" vertical="center"/>
    </xf>
    <xf numFmtId="171" fontId="0" fillId="0" borderId="28" xfId="0" applyNumberFormat="1" applyBorder="1"/>
    <xf numFmtId="169" fontId="0" fillId="0" borderId="28" xfId="6" applyFont="1" applyFill="1" applyBorder="1" applyAlignment="1" applyProtection="1">
      <alignment vertical="center"/>
    </xf>
    <xf numFmtId="171" fontId="30" fillId="0" borderId="0" xfId="0" applyNumberFormat="1" applyFont="1"/>
    <xf numFmtId="0" fontId="0" fillId="0" borderId="0" xfId="0" applyAlignment="1">
      <alignment horizontal="center"/>
    </xf>
    <xf numFmtId="174" fontId="30" fillId="0" borderId="0" xfId="0" applyNumberFormat="1" applyFont="1"/>
    <xf numFmtId="171" fontId="30" fillId="0" borderId="0" xfId="6" applyNumberFormat="1" applyFont="1" applyFill="1" applyAlignment="1">
      <alignment horizontal="right" vertical="center"/>
    </xf>
    <xf numFmtId="0" fontId="0" fillId="0" borderId="1" xfId="3" applyFont="1" applyBorder="1" applyAlignment="1" applyProtection="1">
      <alignment horizontal="left" vertical="center"/>
      <protection locked="0"/>
    </xf>
    <xf numFmtId="173" fontId="0" fillId="0" borderId="0" xfId="0" applyNumberFormat="1"/>
    <xf numFmtId="0" fontId="0" fillId="0" borderId="14" xfId="0" applyBorder="1" applyAlignment="1">
      <alignment horizontal="center"/>
    </xf>
    <xf numFmtId="0" fontId="0" fillId="0" borderId="24" xfId="3" applyFont="1" applyBorder="1" applyAlignment="1" applyProtection="1">
      <alignment horizontal="left" vertical="center"/>
      <protection locked="0"/>
    </xf>
    <xf numFmtId="171" fontId="30" fillId="0" borderId="27" xfId="6" applyNumberFormat="1" applyFont="1" applyFill="1" applyBorder="1" applyAlignment="1">
      <alignment vertical="center"/>
    </xf>
    <xf numFmtId="9" fontId="0" fillId="0" borderId="0" xfId="0" applyNumberFormat="1"/>
    <xf numFmtId="0" fontId="0" fillId="0" borderId="0" xfId="3" applyFont="1" applyAlignment="1" applyProtection="1">
      <alignment horizontal="left" vertical="center"/>
      <protection locked="0"/>
    </xf>
    <xf numFmtId="171" fontId="0" fillId="0" borderId="0" xfId="6" applyNumberFormat="1" applyFont="1" applyFill="1" applyBorder="1" applyAlignment="1" applyProtection="1">
      <alignment vertical="center"/>
    </xf>
    <xf numFmtId="171" fontId="0" fillId="0" borderId="28" xfId="6" applyNumberFormat="1" applyFont="1" applyFill="1" applyBorder="1" applyAlignment="1" applyProtection="1">
      <alignment vertical="center"/>
    </xf>
    <xf numFmtId="10" fontId="0" fillId="0" borderId="0" xfId="0" applyNumberFormat="1"/>
    <xf numFmtId="171" fontId="30" fillId="0" borderId="0" xfId="3" applyNumberFormat="1" applyFont="1" applyAlignment="1">
      <alignment horizontal="right" vertical="center"/>
    </xf>
    <xf numFmtId="171" fontId="0" fillId="0" borderId="27" xfId="0" applyNumberFormat="1" applyBorder="1"/>
    <xf numFmtId="0" fontId="0" fillId="0" borderId="0" xfId="3" applyFont="1" applyAlignment="1">
      <alignment horizontal="left" vertical="center"/>
    </xf>
    <xf numFmtId="0" fontId="30" fillId="0" borderId="23" xfId="0" applyFont="1" applyBorder="1" applyProtection="1">
      <protection hidden="1"/>
    </xf>
    <xf numFmtId="0" fontId="31" fillId="0" borderId="14" xfId="0" applyFont="1" applyBorder="1"/>
    <xf numFmtId="0" fontId="0" fillId="0" borderId="27" xfId="3" applyFont="1" applyBorder="1" applyAlignment="1">
      <alignment vertical="center"/>
    </xf>
    <xf numFmtId="171" fontId="30" fillId="0" borderId="27" xfId="3" applyNumberFormat="1" applyFont="1" applyBorder="1" applyAlignment="1">
      <alignment horizontal="right" vertical="center"/>
    </xf>
    <xf numFmtId="0" fontId="30" fillId="0" borderId="0" xfId="3" applyFont="1" applyAlignment="1">
      <alignment vertical="center"/>
    </xf>
    <xf numFmtId="169" fontId="0" fillId="0" borderId="0" xfId="6" applyFont="1" applyFill="1" applyBorder="1" applyAlignment="1" applyProtection="1">
      <alignment vertical="center"/>
    </xf>
    <xf numFmtId="171" fontId="0" fillId="0" borderId="0" xfId="3" applyNumberFormat="1" applyFont="1" applyAlignment="1">
      <alignment horizontal="right" vertical="center"/>
    </xf>
    <xf numFmtId="2" fontId="30" fillId="0" borderId="0" xfId="0" applyNumberFormat="1" applyFont="1"/>
    <xf numFmtId="171" fontId="0" fillId="0" borderId="28" xfId="6" applyNumberFormat="1" applyFont="1" applyFill="1" applyBorder="1" applyAlignment="1" applyProtection="1">
      <alignment horizontal="right" vertical="center"/>
    </xf>
    <xf numFmtId="2" fontId="0" fillId="0" borderId="0" xfId="0" applyNumberFormat="1" applyAlignment="1">
      <alignment horizontal="right"/>
    </xf>
    <xf numFmtId="0" fontId="0" fillId="0" borderId="24" xfId="0" applyBorder="1" applyProtection="1">
      <protection hidden="1"/>
    </xf>
    <xf numFmtId="0" fontId="0" fillId="0" borderId="27" xfId="0" applyBorder="1"/>
    <xf numFmtId="10" fontId="0" fillId="0" borderId="0" xfId="2" applyNumberFormat="1" applyFont="1" applyFill="1"/>
    <xf numFmtId="171" fontId="0" fillId="0" borderId="1" xfId="0" applyNumberFormat="1" applyBorder="1"/>
    <xf numFmtId="10" fontId="0" fillId="0" borderId="27" xfId="2" applyNumberFormat="1" applyFont="1" applyFill="1" applyBorder="1"/>
    <xf numFmtId="166" fontId="0" fillId="0" borderId="0" xfId="0" applyNumberFormat="1"/>
    <xf numFmtId="166" fontId="0" fillId="0" borderId="0" xfId="2" applyNumberFormat="1" applyFont="1" applyFill="1" applyBorder="1"/>
    <xf numFmtId="0" fontId="0" fillId="0" borderId="0" xfId="2" applyNumberFormat="1" applyFont="1" applyFill="1"/>
    <xf numFmtId="171" fontId="0" fillId="0" borderId="0" xfId="0" applyNumberFormat="1"/>
    <xf numFmtId="168" fontId="0" fillId="0" borderId="0" xfId="0" applyNumberFormat="1"/>
    <xf numFmtId="17" fontId="0" fillId="0" borderId="14" xfId="0" applyNumberFormat="1" applyBorder="1" applyAlignment="1">
      <alignment horizontal="center"/>
    </xf>
    <xf numFmtId="171" fontId="30" fillId="0" borderId="27" xfId="0" applyNumberFormat="1" applyFont="1" applyBorder="1"/>
    <xf numFmtId="167" fontId="4" fillId="4" borderId="2" xfId="0" quotePrefix="1" applyNumberFormat="1" applyFont="1" applyFill="1" applyBorder="1" applyAlignment="1">
      <alignment horizontal="left"/>
    </xf>
    <xf numFmtId="167" fontId="4" fillId="4" borderId="6" xfId="0" quotePrefix="1" applyNumberFormat="1" applyFont="1" applyFill="1" applyBorder="1" applyAlignment="1">
      <alignment horizontal="left"/>
    </xf>
    <xf numFmtId="0" fontId="3" fillId="4" borderId="0" xfId="0" quotePrefix="1" applyFont="1" applyFill="1" applyAlignment="1">
      <alignment horizontal="left"/>
    </xf>
    <xf numFmtId="167" fontId="3" fillId="4" borderId="0" xfId="0" quotePrefix="1" applyNumberFormat="1" applyFont="1" applyFill="1" applyAlignment="1">
      <alignment horizontal="center"/>
    </xf>
    <xf numFmtId="167" fontId="4" fillId="4" borderId="0" xfId="0" quotePrefix="1" applyNumberFormat="1" applyFont="1" applyFill="1" applyAlignment="1">
      <alignment horizontal="center"/>
    </xf>
    <xf numFmtId="0" fontId="13" fillId="4" borderId="2" xfId="0" quotePrefix="1" applyFont="1" applyFill="1" applyBorder="1" applyAlignment="1">
      <alignment horizontal="left"/>
    </xf>
    <xf numFmtId="0" fontId="4" fillId="4" borderId="0" xfId="0" quotePrefix="1" applyFont="1" applyFill="1" applyAlignment="1">
      <alignment horizontal="right"/>
    </xf>
    <xf numFmtId="0" fontId="13" fillId="4" borderId="6" xfId="0" quotePrefix="1" applyFont="1" applyFill="1" applyBorder="1" applyAlignment="1">
      <alignment horizontal="left"/>
    </xf>
    <xf numFmtId="0" fontId="3" fillId="4" borderId="6" xfId="0" quotePrefix="1" applyFont="1" applyFill="1" applyBorder="1" applyAlignment="1">
      <alignment horizontal="right"/>
    </xf>
    <xf numFmtId="0" fontId="4" fillId="7" borderId="6" xfId="0" quotePrefix="1" applyFont="1" applyFill="1" applyBorder="1" applyAlignment="1">
      <alignment horizontal="left"/>
    </xf>
    <xf numFmtId="0" fontId="7" fillId="4" borderId="7" xfId="0" quotePrefix="1" applyFont="1" applyFill="1" applyBorder="1" applyAlignment="1">
      <alignment horizontal="center" vertical="center"/>
    </xf>
    <xf numFmtId="0" fontId="4" fillId="4" borderId="2" xfId="0" quotePrefix="1" applyFont="1" applyFill="1" applyBorder="1" applyAlignment="1">
      <alignment horizontal="left"/>
    </xf>
    <xf numFmtId="0" fontId="4" fillId="4" borderId="6" xfId="0" quotePrefix="1" applyFont="1" applyFill="1" applyBorder="1" applyAlignment="1">
      <alignment horizontal="left"/>
    </xf>
    <xf numFmtId="0" fontId="15" fillId="4" borderId="0" xfId="0" quotePrefix="1" applyFont="1" applyFill="1" applyAlignment="1">
      <alignment horizontal="left"/>
    </xf>
    <xf numFmtId="0" fontId="4" fillId="4" borderId="0" xfId="0" quotePrefix="1" applyFont="1" applyFill="1" applyAlignment="1">
      <alignment horizontal="left"/>
    </xf>
    <xf numFmtId="0" fontId="4" fillId="4" borderId="10" xfId="0" quotePrefix="1" applyFont="1" applyFill="1" applyBorder="1" applyAlignment="1">
      <alignment horizontal="right"/>
    </xf>
    <xf numFmtId="0" fontId="7" fillId="4" borderId="0" xfId="0" quotePrefix="1" applyFont="1" applyFill="1" applyAlignment="1">
      <alignment horizontal="left"/>
    </xf>
    <xf numFmtId="0" fontId="3" fillId="4" borderId="0" xfId="0" quotePrefix="1" applyFont="1" applyFill="1" applyAlignment="1">
      <alignment horizontal="right"/>
    </xf>
    <xf numFmtId="167" fontId="3" fillId="4" borderId="10" xfId="0" quotePrefix="1" applyNumberFormat="1" applyFont="1" applyFill="1" applyBorder="1" applyAlignment="1">
      <alignment horizontal="center"/>
    </xf>
    <xf numFmtId="0" fontId="15" fillId="4" borderId="0" xfId="0" quotePrefix="1" applyFont="1" applyFill="1"/>
    <xf numFmtId="0" fontId="34" fillId="4" borderId="6" xfId="0" applyFont="1" applyFill="1" applyBorder="1" applyAlignment="1">
      <alignment horizontal="right"/>
    </xf>
    <xf numFmtId="0" fontId="33" fillId="4" borderId="0" xfId="0" applyFont="1" applyFill="1" applyAlignment="1">
      <alignment horizontal="right"/>
    </xf>
    <xf numFmtId="0" fontId="34" fillId="4" borderId="0" xfId="0" applyFont="1" applyFill="1"/>
    <xf numFmtId="0" fontId="35" fillId="0" borderId="0" xfId="8"/>
    <xf numFmtId="0" fontId="37" fillId="0" borderId="7" xfId="8" applyFont="1" applyBorder="1" applyAlignment="1">
      <alignment horizontal="center"/>
    </xf>
    <xf numFmtId="0" fontId="35" fillId="0" borderId="7" xfId="8" applyBorder="1" applyAlignment="1">
      <alignment horizontal="center"/>
    </xf>
    <xf numFmtId="0" fontId="37" fillId="0" borderId="7" xfId="8" applyFont="1" applyBorder="1" applyAlignment="1">
      <alignment horizontal="center" vertical="center"/>
    </xf>
    <xf numFmtId="175" fontId="37" fillId="0" borderId="7" xfId="9" applyFont="1" applyBorder="1" applyAlignment="1">
      <alignment horizontal="center" vertical="center"/>
    </xf>
    <xf numFmtId="10" fontId="37" fillId="0" borderId="7" xfId="10" applyNumberFormat="1" applyFont="1" applyBorder="1" applyAlignment="1">
      <alignment horizontal="center" vertical="center"/>
    </xf>
    <xf numFmtId="0" fontId="36" fillId="0" borderId="0" xfId="8" applyFont="1" applyAlignment="1">
      <alignment vertical="center"/>
    </xf>
    <xf numFmtId="0" fontId="39" fillId="0" borderId="1" xfId="0" applyFont="1" applyBorder="1"/>
    <xf numFmtId="0" fontId="3" fillId="0" borderId="7" xfId="4" applyFont="1" applyBorder="1" applyAlignment="1">
      <alignment horizontal="left" vertical="center" wrapText="1"/>
    </xf>
    <xf numFmtId="4" fontId="3" fillId="0" borderId="7" xfId="0" applyNumberFormat="1" applyFont="1" applyBorder="1"/>
    <xf numFmtId="10" fontId="38" fillId="0" borderId="7" xfId="10" applyNumberFormat="1" applyFont="1" applyFill="1" applyBorder="1" applyAlignment="1">
      <alignment horizontal="center" vertical="center"/>
    </xf>
    <xf numFmtId="164" fontId="0" fillId="0" borderId="7" xfId="9" applyNumberFormat="1" applyFont="1" applyFill="1" applyBorder="1" applyAlignment="1">
      <alignment horizontal="center" vertical="center"/>
    </xf>
    <xf numFmtId="175" fontId="0" fillId="0" borderId="7" xfId="9" applyFont="1" applyFill="1" applyBorder="1" applyAlignment="1">
      <alignment horizontal="center" vertical="center"/>
    </xf>
    <xf numFmtId="0" fontId="2" fillId="3" borderId="28" xfId="0" applyFont="1" applyFill="1" applyBorder="1" applyAlignment="1" applyProtection="1">
      <alignment horizontal="center"/>
      <protection hidden="1"/>
    </xf>
    <xf numFmtId="171" fontId="30" fillId="0" borderId="27" xfId="1" applyNumberFormat="1" applyFont="1" applyFill="1" applyBorder="1"/>
    <xf numFmtId="0" fontId="0" fillId="0" borderId="1" xfId="3" applyFont="1" applyBorder="1" applyAlignment="1">
      <alignment horizontal="left" vertical="center"/>
    </xf>
    <xf numFmtId="171" fontId="32" fillId="0" borderId="0" xfId="0" applyNumberFormat="1" applyFont="1"/>
    <xf numFmtId="171" fontId="32" fillId="0" borderId="27" xfId="0" applyNumberFormat="1" applyFont="1" applyBorder="1"/>
    <xf numFmtId="2" fontId="0" fillId="0" borderId="27" xfId="0" applyNumberFormat="1" applyBorder="1"/>
    <xf numFmtId="0" fontId="0" fillId="0" borderId="1" xfId="0" applyBorder="1" applyAlignment="1">
      <alignment wrapText="1"/>
    </xf>
    <xf numFmtId="10" fontId="0" fillId="0" borderId="0" xfId="2" applyNumberFormat="1" applyFont="1" applyProtection="1">
      <protection hidden="1"/>
    </xf>
    <xf numFmtId="0" fontId="35" fillId="0" borderId="7" xfId="8" applyBorder="1" applyAlignment="1">
      <alignment horizontal="center" vertical="center"/>
    </xf>
    <xf numFmtId="9" fontId="2" fillId="3" borderId="28" xfId="2" applyFont="1" applyFill="1" applyBorder="1" applyAlignment="1" applyProtection="1">
      <alignment horizontal="center"/>
      <protection hidden="1"/>
    </xf>
    <xf numFmtId="44" fontId="2" fillId="3" borderId="28" xfId="0" applyNumberFormat="1" applyFont="1" applyFill="1" applyBorder="1" applyProtection="1">
      <protection hidden="1"/>
    </xf>
    <xf numFmtId="0" fontId="4" fillId="4" borderId="2" xfId="0" applyFont="1" applyFill="1" applyBorder="1"/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/>
    <xf numFmtId="169" fontId="4" fillId="4" borderId="3" xfId="1" applyFont="1" applyFill="1" applyBorder="1" applyProtection="1"/>
    <xf numFmtId="9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10" fontId="0" fillId="0" borderId="0" xfId="0" applyNumberFormat="1" applyProtection="1">
      <protection hidden="1"/>
    </xf>
    <xf numFmtId="0" fontId="3" fillId="7" borderId="6" xfId="0" applyFont="1" applyFill="1" applyBorder="1"/>
    <xf numFmtId="0" fontId="2" fillId="3" borderId="0" xfId="0" applyFont="1" applyFill="1" applyAlignment="1">
      <alignment vertical="center" wrapText="1"/>
    </xf>
    <xf numFmtId="10" fontId="4" fillId="0" borderId="19" xfId="2" applyNumberFormat="1" applyFont="1" applyFill="1" applyBorder="1" applyAlignment="1" applyProtection="1">
      <alignment horizontal="center"/>
    </xf>
    <xf numFmtId="0" fontId="4" fillId="4" borderId="5" xfId="0" applyFont="1" applyFill="1" applyBorder="1" applyAlignment="1">
      <alignment horizontal="center"/>
    </xf>
    <xf numFmtId="3" fontId="8" fillId="3" borderId="7" xfId="1" applyNumberFormat="1" applyFont="1" applyFill="1" applyBorder="1" applyAlignment="1" applyProtection="1">
      <alignment horizontal="right"/>
    </xf>
    <xf numFmtId="9" fontId="10" fillId="4" borderId="0" xfId="2" applyFont="1" applyFill="1" applyBorder="1" applyAlignment="1" applyProtection="1">
      <alignment horizontal="left"/>
    </xf>
    <xf numFmtId="0" fontId="9" fillId="4" borderId="0" xfId="0" applyFont="1" applyFill="1"/>
    <xf numFmtId="169" fontId="3" fillId="0" borderId="7" xfId="0" applyNumberFormat="1" applyFont="1" applyBorder="1"/>
    <xf numFmtId="43" fontId="10" fillId="0" borderId="0" xfId="0" applyNumberFormat="1" applyFont="1"/>
    <xf numFmtId="44" fontId="28" fillId="12" borderId="7" xfId="4" applyNumberFormat="1" applyFont="1" applyFill="1" applyBorder="1" applyAlignment="1" applyProtection="1">
      <alignment horizontal="center" vertical="center"/>
      <protection hidden="1"/>
    </xf>
    <xf numFmtId="44" fontId="25" fillId="0" borderId="7" xfId="4" applyNumberFormat="1" applyFont="1" applyBorder="1" applyAlignment="1" applyProtection="1">
      <alignment horizontal="center" vertical="center"/>
      <protection hidden="1"/>
    </xf>
    <xf numFmtId="44" fontId="29" fillId="12" borderId="7" xfId="0" applyNumberFormat="1" applyFont="1" applyFill="1" applyBorder="1" applyAlignment="1" applyProtection="1">
      <alignment horizontal="center" vertical="center"/>
      <protection hidden="1"/>
    </xf>
    <xf numFmtId="44" fontId="29" fillId="0" borderId="7" xfId="0" applyNumberFormat="1" applyFont="1" applyBorder="1" applyAlignment="1" applyProtection="1">
      <alignment horizontal="center"/>
      <protection hidden="1"/>
    </xf>
    <xf numFmtId="0" fontId="4" fillId="8" borderId="0" xfId="0" quotePrefix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10" fontId="25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4" applyFont="1" applyBorder="1" applyAlignment="1" applyProtection="1">
      <alignment horizontal="center" vertical="center" wrapText="1"/>
      <protection hidden="1"/>
    </xf>
    <xf numFmtId="0" fontId="25" fillId="13" borderId="7" xfId="4" applyFont="1" applyFill="1" applyBorder="1" applyAlignment="1" applyProtection="1">
      <alignment horizontal="center" vertical="center" wrapText="1"/>
      <protection hidden="1"/>
    </xf>
    <xf numFmtId="0" fontId="25" fillId="14" borderId="7" xfId="4" applyFont="1" applyFill="1" applyBorder="1" applyAlignment="1" applyProtection="1">
      <alignment horizontal="center" vertical="center" wrapText="1"/>
      <protection hidden="1"/>
    </xf>
    <xf numFmtId="44" fontId="0" fillId="0" borderId="0" xfId="0" applyNumberFormat="1" applyProtection="1">
      <protection hidden="1"/>
    </xf>
    <xf numFmtId="169" fontId="12" fillId="3" borderId="25" xfId="1" applyFont="1" applyFill="1" applyBorder="1" applyProtection="1"/>
    <xf numFmtId="169" fontId="8" fillId="3" borderId="4" xfId="1" applyFont="1" applyFill="1" applyBorder="1" applyProtection="1"/>
    <xf numFmtId="0" fontId="10" fillId="0" borderId="0" xfId="3" applyFont="1"/>
    <xf numFmtId="0" fontId="3" fillId="0" borderId="6" xfId="3" applyFont="1" applyBorder="1"/>
    <xf numFmtId="0" fontId="3" fillId="0" borderId="0" xfId="3" applyFont="1"/>
    <xf numFmtId="169" fontId="4" fillId="0" borderId="0" xfId="13" applyFont="1" applyFill="1" applyBorder="1" applyProtection="1"/>
    <xf numFmtId="0" fontId="4" fillId="0" borderId="0" xfId="3" applyFont="1" applyAlignment="1">
      <alignment horizontal="left"/>
    </xf>
    <xf numFmtId="169" fontId="5" fillId="0" borderId="8" xfId="3" applyNumberFormat="1" applyFont="1" applyBorder="1"/>
    <xf numFmtId="167" fontId="4" fillId="0" borderId="0" xfId="3" applyNumberFormat="1" applyFont="1" applyAlignment="1">
      <alignment horizontal="left" vertical="center"/>
    </xf>
    <xf numFmtId="0" fontId="6" fillId="0" borderId="0" xfId="3" applyFont="1"/>
    <xf numFmtId="169" fontId="6" fillId="0" borderId="0" xfId="13" applyFont="1" applyFill="1" applyBorder="1" applyProtection="1"/>
    <xf numFmtId="0" fontId="7" fillId="0" borderId="0" xfId="3" applyFont="1" applyAlignment="1">
      <alignment horizontal="center" vertical="center"/>
    </xf>
    <xf numFmtId="0" fontId="3" fillId="0" borderId="8" xfId="3" applyFont="1" applyBorder="1"/>
    <xf numFmtId="167" fontId="4" fillId="4" borderId="2" xfId="3" quotePrefix="1" applyNumberFormat="1" applyFont="1" applyFill="1" applyBorder="1" applyAlignment="1">
      <alignment horizontal="left"/>
    </xf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9" fontId="12" fillId="3" borderId="4" xfId="13" applyFont="1" applyFill="1" applyBorder="1" applyProtection="1"/>
    <xf numFmtId="0" fontId="3" fillId="4" borderId="3" xfId="3" applyFont="1" applyFill="1" applyBorder="1"/>
    <xf numFmtId="0" fontId="3" fillId="4" borderId="5" xfId="3" applyFont="1" applyFill="1" applyBorder="1"/>
    <xf numFmtId="167" fontId="4" fillId="4" borderId="6" xfId="3" quotePrefix="1" applyNumberFormat="1" applyFont="1" applyFill="1" applyBorder="1" applyAlignment="1">
      <alignment horizontal="left"/>
    </xf>
    <xf numFmtId="0" fontId="4" fillId="4" borderId="0" xfId="3" applyFont="1" applyFill="1" applyAlignment="1">
      <alignment horizontal="left"/>
    </xf>
    <xf numFmtId="0" fontId="4" fillId="4" borderId="0" xfId="3" applyFont="1" applyFill="1"/>
    <xf numFmtId="169" fontId="8" fillId="3" borderId="7" xfId="13" applyFont="1" applyFill="1" applyBorder="1" applyProtection="1"/>
    <xf numFmtId="0" fontId="3" fillId="4" borderId="0" xfId="3" applyFont="1" applyFill="1"/>
    <xf numFmtId="0" fontId="3" fillId="4" borderId="8" xfId="3" applyFont="1" applyFill="1" applyBorder="1"/>
    <xf numFmtId="169" fontId="8" fillId="3" borderId="7" xfId="13" applyFont="1" applyFill="1" applyBorder="1" applyAlignment="1" applyProtection="1">
      <alignment horizontal="right"/>
    </xf>
    <xf numFmtId="0" fontId="9" fillId="4" borderId="8" xfId="3" applyFont="1" applyFill="1" applyBorder="1"/>
    <xf numFmtId="0" fontId="3" fillId="0" borderId="3" xfId="3" applyFont="1" applyBorder="1"/>
    <xf numFmtId="0" fontId="3" fillId="0" borderId="5" xfId="3" applyFont="1" applyBorder="1"/>
    <xf numFmtId="0" fontId="4" fillId="0" borderId="6" xfId="3" applyFont="1" applyBorder="1" applyAlignment="1">
      <alignment horizontal="left"/>
    </xf>
    <xf numFmtId="0" fontId="10" fillId="0" borderId="30" xfId="3" applyFont="1" applyBorder="1"/>
    <xf numFmtId="0" fontId="4" fillId="4" borderId="3" xfId="3" applyFont="1" applyFill="1" applyBorder="1" applyAlignment="1">
      <alignment horizontal="center"/>
    </xf>
    <xf numFmtId="0" fontId="4" fillId="4" borderId="6" xfId="3" applyFont="1" applyFill="1" applyBorder="1" applyAlignment="1">
      <alignment horizontal="left"/>
    </xf>
    <xf numFmtId="167" fontId="4" fillId="4" borderId="6" xfId="3" applyNumberFormat="1" applyFont="1" applyFill="1" applyBorder="1" applyAlignment="1">
      <alignment horizontal="left"/>
    </xf>
    <xf numFmtId="0" fontId="3" fillId="4" borderId="0" xfId="3" quotePrefix="1" applyFont="1" applyFill="1" applyAlignment="1">
      <alignment horizontal="left"/>
    </xf>
    <xf numFmtId="167" fontId="4" fillId="4" borderId="9" xfId="3" applyNumberFormat="1" applyFont="1" applyFill="1" applyBorder="1" applyAlignment="1">
      <alignment horizontal="left"/>
    </xf>
    <xf numFmtId="0" fontId="3" fillId="4" borderId="26" xfId="3" applyFont="1" applyFill="1" applyBorder="1" applyAlignment="1">
      <alignment horizontal="left"/>
    </xf>
    <xf numFmtId="0" fontId="3" fillId="4" borderId="0" xfId="3" applyFont="1" applyFill="1" applyAlignment="1">
      <alignment horizontal="left"/>
    </xf>
    <xf numFmtId="0" fontId="8" fillId="4" borderId="8" xfId="3" applyFont="1" applyFill="1" applyBorder="1"/>
    <xf numFmtId="0" fontId="4" fillId="4" borderId="7" xfId="3" applyFont="1" applyFill="1" applyBorder="1"/>
    <xf numFmtId="9" fontId="12" fillId="3" borderId="18" xfId="14" applyFont="1" applyFill="1" applyBorder="1" applyAlignment="1" applyProtection="1">
      <alignment horizontal="center"/>
    </xf>
    <xf numFmtId="169" fontId="8" fillId="3" borderId="7" xfId="13" applyFont="1" applyFill="1" applyBorder="1" applyAlignment="1" applyProtection="1">
      <alignment horizontal="center"/>
    </xf>
    <xf numFmtId="9" fontId="12" fillId="3" borderId="7" xfId="14" applyFont="1" applyFill="1" applyBorder="1" applyAlignment="1" applyProtection="1">
      <alignment horizontal="center"/>
    </xf>
    <xf numFmtId="9" fontId="12" fillId="3" borderId="0" xfId="14" applyFont="1" applyFill="1" applyBorder="1" applyAlignment="1" applyProtection="1">
      <alignment horizontal="center"/>
    </xf>
    <xf numFmtId="0" fontId="4" fillId="4" borderId="10" xfId="3" applyFont="1" applyFill="1" applyBorder="1" applyAlignment="1">
      <alignment horizontal="left"/>
    </xf>
    <xf numFmtId="0" fontId="4" fillId="4" borderId="10" xfId="3" applyFont="1" applyFill="1" applyBorder="1"/>
    <xf numFmtId="169" fontId="3" fillId="4" borderId="10" xfId="3" applyNumberFormat="1" applyFont="1" applyFill="1" applyBorder="1" applyAlignment="1">
      <alignment horizontal="left"/>
    </xf>
    <xf numFmtId="0" fontId="3" fillId="4" borderId="10" xfId="3" applyFont="1" applyFill="1" applyBorder="1" applyAlignment="1">
      <alignment horizontal="left"/>
    </xf>
    <xf numFmtId="0" fontId="3" fillId="4" borderId="12" xfId="3" applyFont="1" applyFill="1" applyBorder="1"/>
    <xf numFmtId="2" fontId="10" fillId="0" borderId="0" xfId="3" applyNumberFormat="1" applyFont="1"/>
    <xf numFmtId="0" fontId="4" fillId="4" borderId="2" xfId="3" applyFont="1" applyFill="1" applyBorder="1" applyAlignment="1">
      <alignment horizontal="left"/>
    </xf>
    <xf numFmtId="0" fontId="3" fillId="4" borderId="3" xfId="3" applyFont="1" applyFill="1" applyBorder="1" applyAlignment="1">
      <alignment horizontal="left"/>
    </xf>
    <xf numFmtId="169" fontId="12" fillId="3" borderId="7" xfId="13" applyFont="1" applyFill="1" applyBorder="1" applyAlignment="1" applyProtection="1">
      <alignment horizontal="center"/>
    </xf>
    <xf numFmtId="169" fontId="8" fillId="3" borderId="18" xfId="13" applyFont="1" applyFill="1" applyBorder="1" applyProtection="1"/>
    <xf numFmtId="0" fontId="4" fillId="4" borderId="20" xfId="3" applyFont="1" applyFill="1" applyBorder="1"/>
    <xf numFmtId="0" fontId="3" fillId="4" borderId="10" xfId="3" applyFont="1" applyFill="1" applyBorder="1"/>
    <xf numFmtId="0" fontId="9" fillId="4" borderId="12" xfId="3" applyFont="1" applyFill="1" applyBorder="1"/>
    <xf numFmtId="0" fontId="7" fillId="0" borderId="0" xfId="3" applyFont="1" applyAlignment="1">
      <alignment horizontal="left"/>
    </xf>
    <xf numFmtId="2" fontId="3" fillId="0" borderId="0" xfId="3" applyNumberFormat="1" applyFont="1"/>
    <xf numFmtId="0" fontId="4" fillId="0" borderId="0" xfId="3" applyFont="1"/>
    <xf numFmtId="9" fontId="12" fillId="3" borderId="7" xfId="14" applyFont="1" applyFill="1" applyBorder="1" applyAlignment="1" applyProtection="1">
      <alignment horizontal="right"/>
    </xf>
    <xf numFmtId="0" fontId="10" fillId="0" borderId="6" xfId="3" applyFont="1" applyBorder="1"/>
    <xf numFmtId="0" fontId="4" fillId="5" borderId="15" xfId="3" applyFont="1" applyFill="1" applyBorder="1"/>
    <xf numFmtId="0" fontId="4" fillId="5" borderId="16" xfId="3" applyFont="1" applyFill="1" applyBorder="1"/>
    <xf numFmtId="0" fontId="4" fillId="0" borderId="1" xfId="3" applyFont="1" applyBorder="1"/>
    <xf numFmtId="0" fontId="4" fillId="0" borderId="8" xfId="3" applyFont="1" applyBorder="1"/>
    <xf numFmtId="0" fontId="4" fillId="5" borderId="7" xfId="3" applyFont="1" applyFill="1" applyBorder="1" applyAlignment="1">
      <alignment horizontal="center"/>
    </xf>
    <xf numFmtId="0" fontId="10" fillId="0" borderId="8" xfId="3" applyFont="1" applyBorder="1"/>
    <xf numFmtId="0" fontId="4" fillId="0" borderId="8" xfId="3" applyFont="1" applyBorder="1" applyAlignment="1">
      <alignment horizontal="left"/>
    </xf>
    <xf numFmtId="167" fontId="4" fillId="4" borderId="2" xfId="3" applyNumberFormat="1" applyFont="1" applyFill="1" applyBorder="1" applyAlignment="1">
      <alignment horizontal="center"/>
    </xf>
    <xf numFmtId="167" fontId="4" fillId="4" borderId="6" xfId="3" applyNumberFormat="1" applyFont="1" applyFill="1" applyBorder="1" applyAlignment="1">
      <alignment horizontal="center"/>
    </xf>
    <xf numFmtId="0" fontId="4" fillId="4" borderId="0" xfId="3" applyFont="1" applyFill="1" applyAlignment="1">
      <alignment horizontal="center"/>
    </xf>
    <xf numFmtId="43" fontId="8" fillId="3" borderId="7" xfId="13" applyNumberFormat="1" applyFont="1" applyFill="1" applyBorder="1" applyProtection="1"/>
    <xf numFmtId="167" fontId="3" fillId="4" borderId="10" xfId="3" quotePrefix="1" applyNumberFormat="1" applyFont="1" applyFill="1" applyBorder="1" applyAlignment="1">
      <alignment horizontal="center"/>
    </xf>
    <xf numFmtId="0" fontId="4" fillId="4" borderId="21" xfId="3" applyFont="1" applyFill="1" applyBorder="1"/>
    <xf numFmtId="167" fontId="3" fillId="4" borderId="6" xfId="3" applyNumberFormat="1" applyFont="1" applyFill="1" applyBorder="1" applyAlignment="1">
      <alignment horizontal="center"/>
    </xf>
    <xf numFmtId="167" fontId="4" fillId="4" borderId="0" xfId="3" applyNumberFormat="1" applyFont="1" applyFill="1" applyAlignment="1">
      <alignment horizontal="center"/>
    </xf>
    <xf numFmtId="0" fontId="4" fillId="4" borderId="14" xfId="3" applyFont="1" applyFill="1" applyBorder="1"/>
    <xf numFmtId="167" fontId="3" fillId="4" borderId="9" xfId="3" applyNumberFormat="1" applyFont="1" applyFill="1" applyBorder="1" applyAlignment="1">
      <alignment horizontal="center"/>
    </xf>
    <xf numFmtId="167" fontId="3" fillId="4" borderId="10" xfId="3" applyNumberFormat="1" applyFont="1" applyFill="1" applyBorder="1" applyAlignment="1">
      <alignment horizontal="center"/>
    </xf>
    <xf numFmtId="167" fontId="4" fillId="4" borderId="0" xfId="3" quotePrefix="1" applyNumberFormat="1" applyFont="1" applyFill="1" applyAlignment="1">
      <alignment horizontal="center"/>
    </xf>
    <xf numFmtId="0" fontId="3" fillId="4" borderId="0" xfId="3" applyFont="1" applyFill="1" applyAlignment="1">
      <alignment horizontal="center"/>
    </xf>
    <xf numFmtId="0" fontId="3" fillId="0" borderId="0" xfId="3" applyFont="1" applyAlignment="1">
      <alignment horizontal="right"/>
    </xf>
    <xf numFmtId="4" fontId="4" fillId="0" borderId="0" xfId="3" applyNumberFormat="1" applyFont="1"/>
    <xf numFmtId="0" fontId="4" fillId="0" borderId="0" xfId="3" applyFont="1" applyAlignment="1">
      <alignment horizontal="right"/>
    </xf>
    <xf numFmtId="0" fontId="3" fillId="0" borderId="8" xfId="3" applyFont="1" applyBorder="1" applyAlignment="1">
      <alignment horizontal="right"/>
    </xf>
    <xf numFmtId="0" fontId="13" fillId="4" borderId="2" xfId="3" quotePrefix="1" applyFont="1" applyFill="1" applyBorder="1" applyAlignment="1">
      <alignment horizontal="left"/>
    </xf>
    <xf numFmtId="0" fontId="3" fillId="4" borderId="4" xfId="3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0" fontId="3" fillId="4" borderId="6" xfId="3" applyFont="1" applyFill="1" applyBorder="1" applyAlignment="1">
      <alignment horizontal="right"/>
    </xf>
    <xf numFmtId="4" fontId="3" fillId="4" borderId="7" xfId="3" applyNumberFormat="1" applyFont="1" applyFill="1" applyBorder="1"/>
    <xf numFmtId="169" fontId="3" fillId="4" borderId="7" xfId="13" applyFont="1" applyFill="1" applyBorder="1" applyProtection="1"/>
    <xf numFmtId="169" fontId="3" fillId="6" borderId="7" xfId="13" applyFont="1" applyFill="1" applyBorder="1" applyProtection="1"/>
    <xf numFmtId="169" fontId="3" fillId="4" borderId="22" xfId="13" applyFont="1" applyFill="1" applyBorder="1" applyProtection="1"/>
    <xf numFmtId="0" fontId="4" fillId="4" borderId="6" xfId="3" applyFont="1" applyFill="1" applyBorder="1" applyAlignment="1">
      <alignment horizontal="right"/>
    </xf>
    <xf numFmtId="4" fontId="3" fillId="4" borderId="0" xfId="3" applyNumberFormat="1" applyFont="1" applyFill="1"/>
    <xf numFmtId="169" fontId="4" fillId="4" borderId="22" xfId="13" applyFont="1" applyFill="1" applyBorder="1" applyAlignment="1" applyProtection="1">
      <alignment horizontal="right"/>
    </xf>
    <xf numFmtId="171" fontId="14" fillId="3" borderId="7" xfId="13" applyNumberFormat="1" applyFont="1" applyFill="1" applyBorder="1" applyAlignment="1" applyProtection="1">
      <alignment horizontal="right"/>
    </xf>
    <xf numFmtId="0" fontId="15" fillId="4" borderId="0" xfId="3" applyFont="1" applyFill="1"/>
    <xf numFmtId="0" fontId="3" fillId="4" borderId="6" xfId="3" applyFont="1" applyFill="1" applyBorder="1"/>
    <xf numFmtId="0" fontId="3" fillId="4" borderId="0" xfId="3" applyFont="1" applyFill="1" applyAlignment="1">
      <alignment horizontal="right"/>
    </xf>
    <xf numFmtId="169" fontId="3" fillId="4" borderId="0" xfId="13" applyFont="1" applyFill="1" applyBorder="1" applyProtection="1"/>
    <xf numFmtId="0" fontId="13" fillId="4" borderId="6" xfId="3" applyFont="1" applyFill="1" applyBorder="1"/>
    <xf numFmtId="0" fontId="3" fillId="4" borderId="7" xfId="3" applyFont="1" applyFill="1" applyBorder="1" applyAlignment="1">
      <alignment horizontal="center"/>
    </xf>
    <xf numFmtId="169" fontId="3" fillId="4" borderId="7" xfId="13" applyFont="1" applyFill="1" applyBorder="1" applyAlignment="1" applyProtection="1">
      <alignment horizontal="center"/>
    </xf>
    <xf numFmtId="170" fontId="3" fillId="4" borderId="7" xfId="3" applyNumberFormat="1" applyFont="1" applyFill="1" applyBorder="1" applyAlignment="1">
      <alignment horizontal="center"/>
    </xf>
    <xf numFmtId="169" fontId="14" fillId="3" borderId="7" xfId="13" applyFont="1" applyFill="1" applyBorder="1" applyAlignment="1" applyProtection="1">
      <alignment horizontal="right"/>
    </xf>
    <xf numFmtId="43" fontId="3" fillId="4" borderId="7" xfId="13" applyNumberFormat="1" applyFont="1" applyFill="1" applyBorder="1" applyProtection="1"/>
    <xf numFmtId="0" fontId="4" fillId="4" borderId="0" xfId="3" applyFont="1" applyFill="1" applyAlignment="1">
      <alignment horizontal="right"/>
    </xf>
    <xf numFmtId="169" fontId="4" fillId="4" borderId="0" xfId="13" applyFont="1" applyFill="1" applyBorder="1" applyProtection="1"/>
    <xf numFmtId="169" fontId="3" fillId="6" borderId="7" xfId="13" applyFont="1" applyFill="1" applyBorder="1" applyAlignment="1" applyProtection="1">
      <alignment horizontal="center"/>
    </xf>
    <xf numFmtId="0" fontId="4" fillId="4" borderId="0" xfId="3" quotePrefix="1" applyFont="1" applyFill="1" applyAlignment="1">
      <alignment horizontal="right"/>
    </xf>
    <xf numFmtId="0" fontId="13" fillId="4" borderId="6" xfId="3" quotePrefix="1" applyFont="1" applyFill="1" applyBorder="1" applyAlignment="1">
      <alignment horizontal="left"/>
    </xf>
    <xf numFmtId="0" fontId="3" fillId="4" borderId="6" xfId="3" quotePrefix="1" applyFont="1" applyFill="1" applyBorder="1" applyAlignment="1">
      <alignment horizontal="right"/>
    </xf>
    <xf numFmtId="10" fontId="3" fillId="4" borderId="15" xfId="14" applyNumberFormat="1" applyFont="1" applyFill="1" applyBorder="1" applyAlignment="1" applyProtection="1">
      <alignment horizontal="right"/>
    </xf>
    <xf numFmtId="169" fontId="3" fillId="4" borderId="7" xfId="13" applyFont="1" applyFill="1" applyBorder="1" applyAlignment="1" applyProtection="1">
      <alignment horizontal="right"/>
    </xf>
    <xf numFmtId="0" fontId="3" fillId="0" borderId="6" xfId="3" applyFont="1" applyBorder="1" applyAlignment="1">
      <alignment horizontal="left"/>
    </xf>
    <xf numFmtId="0" fontId="10" fillId="4" borderId="8" xfId="3" applyFont="1" applyFill="1" applyBorder="1"/>
    <xf numFmtId="0" fontId="4" fillId="0" borderId="6" xfId="3" applyFont="1" applyBorder="1"/>
    <xf numFmtId="170" fontId="3" fillId="4" borderId="0" xfId="3" applyNumberFormat="1" applyFont="1" applyFill="1"/>
    <xf numFmtId="0" fontId="4" fillId="4" borderId="6" xfId="3" applyFont="1" applyFill="1" applyBorder="1"/>
    <xf numFmtId="0" fontId="4" fillId="4" borderId="9" xfId="3" applyFont="1" applyFill="1" applyBorder="1"/>
    <xf numFmtId="0" fontId="3" fillId="4" borderId="10" xfId="3" applyFont="1" applyFill="1" applyBorder="1" applyAlignment="1">
      <alignment horizontal="right"/>
    </xf>
    <xf numFmtId="4" fontId="3" fillId="4" borderId="10" xfId="3" applyNumberFormat="1" applyFont="1" applyFill="1" applyBorder="1"/>
    <xf numFmtId="169" fontId="4" fillId="4" borderId="10" xfId="13" applyFont="1" applyFill="1" applyBorder="1" applyProtection="1"/>
    <xf numFmtId="0" fontId="3" fillId="7" borderId="2" xfId="3" applyFont="1" applyFill="1" applyBorder="1"/>
    <xf numFmtId="0" fontId="3" fillId="7" borderId="3" xfId="3" applyFont="1" applyFill="1" applyBorder="1"/>
    <xf numFmtId="169" fontId="3" fillId="7" borderId="5" xfId="13" applyFont="1" applyFill="1" applyBorder="1" applyProtection="1"/>
    <xf numFmtId="0" fontId="4" fillId="7" borderId="6" xfId="3" quotePrefix="1" applyFont="1" applyFill="1" applyBorder="1" applyAlignment="1">
      <alignment horizontal="left"/>
    </xf>
    <xf numFmtId="0" fontId="3" fillId="7" borderId="0" xfId="3" applyFont="1" applyFill="1"/>
    <xf numFmtId="0" fontId="15" fillId="7" borderId="8" xfId="3" applyFont="1" applyFill="1" applyBorder="1"/>
    <xf numFmtId="0" fontId="3" fillId="7" borderId="6" xfId="3" applyFont="1" applyFill="1" applyBorder="1" applyAlignment="1">
      <alignment horizontal="center"/>
    </xf>
    <xf numFmtId="169" fontId="3" fillId="7" borderId="8" xfId="13" applyFont="1" applyFill="1" applyBorder="1" applyProtection="1"/>
    <xf numFmtId="0" fontId="3" fillId="7" borderId="9" xfId="3" applyFont="1" applyFill="1" applyBorder="1" applyAlignment="1">
      <alignment horizontal="center"/>
    </xf>
    <xf numFmtId="0" fontId="3" fillId="7" borderId="10" xfId="3" applyFont="1" applyFill="1" applyBorder="1"/>
    <xf numFmtId="0" fontId="3" fillId="7" borderId="12" xfId="3" applyFont="1" applyFill="1" applyBorder="1"/>
    <xf numFmtId="0" fontId="4" fillId="4" borderId="9" xfId="3" applyFont="1" applyFill="1" applyBorder="1" applyAlignment="1">
      <alignment horizontal="left"/>
    </xf>
    <xf numFmtId="0" fontId="15" fillId="4" borderId="12" xfId="3" applyFont="1" applyFill="1" applyBorder="1"/>
    <xf numFmtId="170" fontId="3" fillId="0" borderId="0" xfId="3" applyNumberFormat="1" applyFont="1"/>
    <xf numFmtId="0" fontId="13" fillId="4" borderId="2" xfId="3" applyFont="1" applyFill="1" applyBorder="1" applyAlignment="1">
      <alignment horizontal="left"/>
    </xf>
    <xf numFmtId="0" fontId="3" fillId="4" borderId="3" xfId="3" applyFont="1" applyFill="1" applyBorder="1" applyAlignment="1">
      <alignment horizontal="center"/>
    </xf>
    <xf numFmtId="0" fontId="13" fillId="4" borderId="6" xfId="3" applyFont="1" applyFill="1" applyBorder="1" applyAlignment="1">
      <alignment horizontal="left"/>
    </xf>
    <xf numFmtId="0" fontId="4" fillId="4" borderId="7" xfId="3" applyFont="1" applyFill="1" applyBorder="1" applyAlignment="1">
      <alignment horizontal="center" vertical="center"/>
    </xf>
    <xf numFmtId="0" fontId="4" fillId="4" borderId="7" xfId="3" applyFont="1" applyFill="1" applyBorder="1" applyAlignment="1">
      <alignment horizontal="center"/>
    </xf>
    <xf numFmtId="0" fontId="15" fillId="4" borderId="8" xfId="3" applyFont="1" applyFill="1" applyBorder="1" applyAlignment="1">
      <alignment horizontal="center"/>
    </xf>
    <xf numFmtId="0" fontId="7" fillId="4" borderId="7" xfId="3" applyFont="1" applyFill="1" applyBorder="1" applyAlignment="1">
      <alignment horizontal="center" vertical="center"/>
    </xf>
    <xf numFmtId="4" fontId="3" fillId="4" borderId="7" xfId="3" applyNumberFormat="1" applyFont="1" applyFill="1" applyBorder="1" applyAlignment="1">
      <alignment horizontal="center"/>
    </xf>
    <xf numFmtId="171" fontId="3" fillId="4" borderId="7" xfId="3" applyNumberFormat="1" applyFont="1" applyFill="1" applyBorder="1" applyAlignment="1">
      <alignment horizontal="center"/>
    </xf>
    <xf numFmtId="4" fontId="7" fillId="4" borderId="8" xfId="3" applyNumberFormat="1" applyFont="1" applyFill="1" applyBorder="1"/>
    <xf numFmtId="0" fontId="7" fillId="4" borderId="7" xfId="3" quotePrefix="1" applyFont="1" applyFill="1" applyBorder="1" applyAlignment="1">
      <alignment horizontal="center" vertical="center"/>
    </xf>
    <xf numFmtId="0" fontId="15" fillId="4" borderId="8" xfId="3" applyFont="1" applyFill="1" applyBorder="1"/>
    <xf numFmtId="4" fontId="15" fillId="4" borderId="8" xfId="3" applyNumberFormat="1" applyFont="1" applyFill="1" applyBorder="1"/>
    <xf numFmtId="4" fontId="9" fillId="4" borderId="8" xfId="3" applyNumberFormat="1" applyFont="1" applyFill="1" applyBorder="1"/>
    <xf numFmtId="171" fontId="14" fillId="3" borderId="18" xfId="13" applyNumberFormat="1" applyFont="1" applyFill="1" applyBorder="1" applyAlignment="1" applyProtection="1">
      <alignment horizontal="right"/>
    </xf>
    <xf numFmtId="170" fontId="4" fillId="4" borderId="0" xfId="3" applyNumberFormat="1" applyFont="1" applyFill="1"/>
    <xf numFmtId="171" fontId="3" fillId="4" borderId="19" xfId="3" applyNumberFormat="1" applyFont="1" applyFill="1" applyBorder="1" applyAlignment="1">
      <alignment horizontal="center" vertical="center"/>
    </xf>
    <xf numFmtId="171" fontId="3" fillId="4" borderId="7" xfId="3" applyNumberFormat="1" applyFont="1" applyFill="1" applyBorder="1" applyAlignment="1">
      <alignment horizontal="center" vertical="center"/>
    </xf>
    <xf numFmtId="0" fontId="4" fillId="4" borderId="6" xfId="3" applyFont="1" applyFill="1" applyBorder="1" applyAlignment="1">
      <alignment horizontal="centerContinuous"/>
    </xf>
    <xf numFmtId="0" fontId="3" fillId="4" borderId="0" xfId="3" applyFont="1" applyFill="1" applyAlignment="1">
      <alignment horizontal="centerContinuous"/>
    </xf>
    <xf numFmtId="0" fontId="3" fillId="4" borderId="19" xfId="3" applyFont="1" applyFill="1" applyBorder="1" applyAlignment="1">
      <alignment horizontal="center"/>
    </xf>
    <xf numFmtId="2" fontId="3" fillId="4" borderId="19" xfId="3" applyNumberFormat="1" applyFont="1" applyFill="1" applyBorder="1" applyAlignment="1">
      <alignment horizontal="center" vertical="center"/>
    </xf>
    <xf numFmtId="2" fontId="3" fillId="4" borderId="7" xfId="3" applyNumberFormat="1" applyFont="1" applyFill="1" applyBorder="1" applyAlignment="1">
      <alignment horizontal="center" vertical="center"/>
    </xf>
    <xf numFmtId="171" fontId="3" fillId="4" borderId="7" xfId="13" applyNumberFormat="1" applyFont="1" applyFill="1" applyBorder="1" applyAlignment="1" applyProtection="1">
      <alignment horizontal="center" vertical="center"/>
    </xf>
    <xf numFmtId="0" fontId="16" fillId="4" borderId="8" xfId="3" applyFont="1" applyFill="1" applyBorder="1"/>
    <xf numFmtId="0" fontId="3" fillId="4" borderId="0" xfId="3" applyFont="1" applyFill="1" applyAlignment="1">
      <alignment horizontal="left" vertical="center" wrapText="1"/>
    </xf>
    <xf numFmtId="169" fontId="3" fillId="6" borderId="7" xfId="13" applyFont="1" applyFill="1" applyBorder="1" applyAlignment="1" applyProtection="1">
      <alignment vertical="center"/>
    </xf>
    <xf numFmtId="0" fontId="3" fillId="4" borderId="9" xfId="3" applyFont="1" applyFill="1" applyBorder="1"/>
    <xf numFmtId="170" fontId="3" fillId="4" borderId="10" xfId="3" applyNumberFormat="1" applyFont="1" applyFill="1" applyBorder="1"/>
    <xf numFmtId="169" fontId="3" fillId="4" borderId="10" xfId="13" applyFont="1" applyFill="1" applyBorder="1" applyProtection="1"/>
    <xf numFmtId="0" fontId="4" fillId="4" borderId="2" xfId="3" quotePrefix="1" applyFont="1" applyFill="1" applyBorder="1" applyAlignment="1">
      <alignment horizontal="left"/>
    </xf>
    <xf numFmtId="170" fontId="3" fillId="4" borderId="3" xfId="3" applyNumberFormat="1" applyFont="1" applyFill="1" applyBorder="1"/>
    <xf numFmtId="0" fontId="7" fillId="4" borderId="6" xfId="3" applyFont="1" applyFill="1" applyBorder="1" applyAlignment="1">
      <alignment horizontal="left"/>
    </xf>
    <xf numFmtId="9" fontId="4" fillId="7" borderId="7" xfId="14" applyFont="1" applyFill="1" applyBorder="1" applyProtection="1"/>
    <xf numFmtId="0" fontId="10" fillId="4" borderId="6" xfId="3" applyFont="1" applyFill="1" applyBorder="1"/>
    <xf numFmtId="0" fontId="7" fillId="4" borderId="0" xfId="3" applyFont="1" applyFill="1" applyAlignment="1">
      <alignment horizontal="left"/>
    </xf>
    <xf numFmtId="0" fontId="10" fillId="4" borderId="0" xfId="3" applyFont="1" applyFill="1"/>
    <xf numFmtId="0" fontId="7" fillId="4" borderId="6" xfId="3" applyFont="1" applyFill="1" applyBorder="1" applyAlignment="1">
      <alignment horizontal="right"/>
    </xf>
    <xf numFmtId="169" fontId="8" fillId="3" borderId="11" xfId="13" applyFont="1" applyFill="1" applyBorder="1" applyProtection="1"/>
    <xf numFmtId="169" fontId="4" fillId="0" borderId="7" xfId="13" applyFont="1" applyFill="1" applyBorder="1" applyProtection="1"/>
    <xf numFmtId="0" fontId="7" fillId="4" borderId="0" xfId="3" applyFont="1" applyFill="1"/>
    <xf numFmtId="169" fontId="4" fillId="0" borderId="19" xfId="13" applyFont="1" applyFill="1" applyBorder="1" applyProtection="1"/>
    <xf numFmtId="169" fontId="12" fillId="3" borderId="11" xfId="13" applyFont="1" applyFill="1" applyBorder="1" applyProtection="1"/>
    <xf numFmtId="169" fontId="3" fillId="4" borderId="8" xfId="13" applyFont="1" applyFill="1" applyBorder="1" applyProtection="1"/>
    <xf numFmtId="0" fontId="4" fillId="4" borderId="6" xfId="3" quotePrefix="1" applyFont="1" applyFill="1" applyBorder="1" applyAlignment="1">
      <alignment horizontal="left"/>
    </xf>
    <xf numFmtId="0" fontId="3" fillId="4" borderId="6" xfId="3" applyFont="1" applyFill="1" applyBorder="1" applyAlignment="1">
      <alignment horizontal="left"/>
    </xf>
    <xf numFmtId="0" fontId="4" fillId="0" borderId="15" xfId="3" applyFont="1" applyBorder="1" applyAlignment="1">
      <alignment horizontal="left"/>
    </xf>
    <xf numFmtId="0" fontId="4" fillId="0" borderId="17" xfId="3" applyFont="1" applyBorder="1" applyAlignment="1">
      <alignment horizontal="left"/>
    </xf>
    <xf numFmtId="0" fontId="3" fillId="0" borderId="23" xfId="3" applyFont="1" applyBorder="1" applyAlignment="1">
      <alignment horizontal="center"/>
    </xf>
    <xf numFmtId="9" fontId="4" fillId="0" borderId="7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169" fontId="4" fillId="0" borderId="7" xfId="3" applyNumberFormat="1" applyFont="1" applyBorder="1" applyAlignment="1">
      <alignment horizontal="center"/>
    </xf>
    <xf numFmtId="10" fontId="4" fillId="0" borderId="7" xfId="3" applyNumberFormat="1" applyFont="1" applyBorder="1" applyAlignment="1">
      <alignment horizontal="center"/>
    </xf>
    <xf numFmtId="0" fontId="3" fillId="0" borderId="24" xfId="3" applyFont="1" applyBorder="1" applyAlignment="1">
      <alignment horizontal="center"/>
    </xf>
    <xf numFmtId="172" fontId="8" fillId="3" borderId="11" xfId="13" applyNumberFormat="1" applyFont="1" applyFill="1" applyBorder="1" applyProtection="1"/>
    <xf numFmtId="0" fontId="15" fillId="4" borderId="0" xfId="3" quotePrefix="1" applyFont="1" applyFill="1"/>
    <xf numFmtId="172" fontId="3" fillId="0" borderId="7" xfId="13" applyNumberFormat="1" applyFont="1" applyFill="1" applyBorder="1" applyProtection="1"/>
    <xf numFmtId="0" fontId="15" fillId="4" borderId="0" xfId="3" applyFont="1" applyFill="1" applyAlignment="1">
      <alignment horizontal="left"/>
    </xf>
    <xf numFmtId="169" fontId="12" fillId="3" borderId="7" xfId="13" applyFont="1" applyFill="1" applyBorder="1" applyProtection="1"/>
    <xf numFmtId="0" fontId="7" fillId="4" borderId="6" xfId="3" applyFont="1" applyFill="1" applyBorder="1"/>
    <xf numFmtId="43" fontId="15" fillId="4" borderId="0" xfId="3" applyNumberFormat="1" applyFont="1" applyFill="1"/>
    <xf numFmtId="171" fontId="14" fillId="3" borderId="0" xfId="13" applyNumberFormat="1" applyFont="1" applyFill="1" applyBorder="1" applyAlignment="1" applyProtection="1">
      <alignment horizontal="right"/>
    </xf>
    <xf numFmtId="2" fontId="4" fillId="7" borderId="7" xfId="14" applyNumberFormat="1" applyFont="1" applyFill="1" applyBorder="1" applyProtection="1"/>
    <xf numFmtId="9" fontId="10" fillId="4" borderId="0" xfId="2" applyFont="1" applyFill="1" applyAlignment="1">
      <alignment horizontal="left"/>
    </xf>
    <xf numFmtId="169" fontId="3" fillId="10" borderId="7" xfId="13" applyFont="1" applyFill="1" applyBorder="1" applyProtection="1"/>
    <xf numFmtId="0" fontId="15" fillId="4" borderId="0" xfId="3" quotePrefix="1" applyFont="1" applyFill="1" applyAlignment="1">
      <alignment horizontal="left"/>
    </xf>
    <xf numFmtId="169" fontId="3" fillId="0" borderId="7" xfId="13" applyFont="1" applyFill="1" applyBorder="1" applyProtection="1"/>
    <xf numFmtId="43" fontId="3" fillId="6" borderId="7" xfId="13" applyNumberFormat="1" applyFont="1" applyFill="1" applyBorder="1" applyProtection="1"/>
    <xf numFmtId="169" fontId="3" fillId="4" borderId="8" xfId="3" applyNumberFormat="1" applyFont="1" applyFill="1" applyBorder="1"/>
    <xf numFmtId="0" fontId="4" fillId="4" borderId="0" xfId="3" quotePrefix="1" applyFont="1" applyFill="1" applyAlignment="1">
      <alignment horizontal="left"/>
    </xf>
    <xf numFmtId="0" fontId="10" fillId="4" borderId="9" xfId="3" applyFont="1" applyFill="1" applyBorder="1"/>
    <xf numFmtId="0" fontId="4" fillId="4" borderId="10" xfId="3" quotePrefix="1" applyFont="1" applyFill="1" applyBorder="1" applyAlignment="1">
      <alignment horizontal="right"/>
    </xf>
    <xf numFmtId="0" fontId="15" fillId="4" borderId="10" xfId="3" applyFont="1" applyFill="1" applyBorder="1"/>
    <xf numFmtId="4" fontId="3" fillId="0" borderId="0" xfId="3" applyNumberFormat="1" applyFont="1"/>
    <xf numFmtId="0" fontId="7" fillId="4" borderId="0" xfId="3" quotePrefix="1" applyFont="1" applyFill="1" applyAlignment="1">
      <alignment horizontal="left"/>
    </xf>
    <xf numFmtId="169" fontId="3" fillId="0" borderId="18" xfId="13" applyFont="1" applyFill="1" applyBorder="1" applyProtection="1"/>
    <xf numFmtId="169" fontId="3" fillId="5" borderId="7" xfId="13" applyFont="1" applyFill="1" applyBorder="1" applyProtection="1"/>
    <xf numFmtId="169" fontId="3" fillId="4" borderId="0" xfId="3" applyNumberFormat="1" applyFont="1" applyFill="1"/>
    <xf numFmtId="170" fontId="3" fillId="0" borderId="7" xfId="3" applyNumberFormat="1" applyFont="1" applyBorder="1"/>
    <xf numFmtId="0" fontId="17" fillId="4" borderId="0" xfId="3" applyFont="1" applyFill="1" applyAlignment="1">
      <alignment horizontal="right"/>
    </xf>
    <xf numFmtId="169" fontId="6" fillId="4" borderId="0" xfId="13" applyFont="1" applyFill="1" applyBorder="1" applyProtection="1"/>
    <xf numFmtId="0" fontId="18" fillId="4" borderId="0" xfId="3" applyFont="1" applyFill="1"/>
    <xf numFmtId="0" fontId="19" fillId="4" borderId="0" xfId="3" applyFont="1" applyFill="1"/>
    <xf numFmtId="169" fontId="14" fillId="0" borderId="0" xfId="13" applyFont="1" applyFill="1" applyBorder="1" applyAlignment="1" applyProtection="1">
      <alignment horizontal="right"/>
    </xf>
    <xf numFmtId="0" fontId="15" fillId="0" borderId="0" xfId="3" applyFont="1"/>
    <xf numFmtId="0" fontId="3" fillId="4" borderId="2" xfId="3" applyFont="1" applyFill="1" applyBorder="1"/>
    <xf numFmtId="4" fontId="4" fillId="4" borderId="7" xfId="3" applyNumberFormat="1" applyFont="1" applyFill="1" applyBorder="1" applyAlignment="1">
      <alignment horizontal="center"/>
    </xf>
    <xf numFmtId="169" fontId="4" fillId="4" borderId="7" xfId="13" applyFont="1" applyFill="1" applyBorder="1" applyProtection="1"/>
    <xf numFmtId="0" fontId="3" fillId="4" borderId="0" xfId="3" quotePrefix="1" applyFont="1" applyFill="1" applyAlignment="1">
      <alignment horizontal="right"/>
    </xf>
    <xf numFmtId="10" fontId="3" fillId="4" borderId="7" xfId="14" applyNumberFormat="1" applyFont="1" applyFill="1" applyBorder="1" applyProtection="1"/>
    <xf numFmtId="0" fontId="20" fillId="0" borderId="6" xfId="3" applyFont="1" applyBorder="1" applyAlignment="1">
      <alignment horizontal="center"/>
    </xf>
    <xf numFmtId="0" fontId="20" fillId="0" borderId="0" xfId="3" applyFont="1" applyAlignment="1">
      <alignment horizontal="center"/>
    </xf>
    <xf numFmtId="0" fontId="20" fillId="0" borderId="8" xfId="3" applyFont="1" applyBorder="1" applyAlignment="1">
      <alignment horizontal="center"/>
    </xf>
    <xf numFmtId="0" fontId="4" fillId="0" borderId="6" xfId="3" applyFont="1" applyBorder="1" applyAlignment="1">
      <alignment horizontal="centerContinuous"/>
    </xf>
    <xf numFmtId="0" fontId="7" fillId="4" borderId="2" xfId="3" applyFont="1" applyFill="1" applyBorder="1" applyAlignment="1">
      <alignment horizontal="right"/>
    </xf>
    <xf numFmtId="0" fontId="15" fillId="4" borderId="3" xfId="3" applyFont="1" applyFill="1" applyBorder="1"/>
    <xf numFmtId="0" fontId="7" fillId="4" borderId="3" xfId="3" applyFont="1" applyFill="1" applyBorder="1" applyAlignment="1">
      <alignment horizontal="right"/>
    </xf>
    <xf numFmtId="0" fontId="18" fillId="4" borderId="3" xfId="3" applyFont="1" applyFill="1" applyBorder="1" applyAlignment="1">
      <alignment horizontal="center" vertical="center"/>
    </xf>
    <xf numFmtId="169" fontId="4" fillId="9" borderId="7" xfId="13" applyFont="1" applyFill="1" applyBorder="1" applyProtection="1"/>
    <xf numFmtId="0" fontId="7" fillId="4" borderId="0" xfId="3" applyFont="1" applyFill="1" applyAlignment="1">
      <alignment horizontal="right"/>
    </xf>
    <xf numFmtId="0" fontId="3" fillId="4" borderId="8" xfId="3" applyFont="1" applyFill="1" applyBorder="1" applyAlignment="1">
      <alignment horizontal="right"/>
    </xf>
    <xf numFmtId="169" fontId="11" fillId="0" borderId="7" xfId="13" applyFont="1" applyFill="1" applyBorder="1" applyProtection="1"/>
    <xf numFmtId="176" fontId="11" fillId="0" borderId="7" xfId="14" applyNumberFormat="1" applyFont="1" applyFill="1" applyBorder="1" applyProtection="1"/>
    <xf numFmtId="169" fontId="17" fillId="0" borderId="7" xfId="13" applyFont="1" applyFill="1" applyBorder="1" applyProtection="1"/>
    <xf numFmtId="176" fontId="17" fillId="0" borderId="7" xfId="14" applyNumberFormat="1" applyFont="1" applyFill="1" applyBorder="1" applyProtection="1"/>
    <xf numFmtId="0" fontId="3" fillId="0" borderId="6" xfId="3" applyFont="1" applyBorder="1" applyAlignment="1">
      <alignment horizontal="centerContinuous"/>
    </xf>
    <xf numFmtId="0" fontId="18" fillId="4" borderId="6" xfId="3" applyFont="1" applyFill="1" applyBorder="1" applyAlignment="1">
      <alignment horizontal="right"/>
    </xf>
    <xf numFmtId="0" fontId="18" fillId="4" borderId="0" xfId="3" applyFont="1" applyFill="1" applyAlignment="1">
      <alignment horizontal="right"/>
    </xf>
    <xf numFmtId="0" fontId="4" fillId="7" borderId="6" xfId="3" applyFont="1" applyFill="1" applyBorder="1" applyAlignment="1">
      <alignment horizontal="left"/>
    </xf>
    <xf numFmtId="0" fontId="42" fillId="0" borderId="6" xfId="3" applyFont="1" applyBorder="1" applyAlignment="1">
      <alignment horizontal="left"/>
    </xf>
    <xf numFmtId="0" fontId="42" fillId="0" borderId="0" xfId="3" applyFont="1" applyAlignment="1">
      <alignment horizontal="left"/>
    </xf>
    <xf numFmtId="0" fontId="42" fillId="0" borderId="8" xfId="3" applyFont="1" applyBorder="1" applyAlignment="1">
      <alignment horizontal="left"/>
    </xf>
    <xf numFmtId="0" fontId="4" fillId="0" borderId="0" xfId="3" applyFont="1" applyAlignment="1">
      <alignment horizontal="centerContinuous"/>
    </xf>
    <xf numFmtId="170" fontId="4" fillId="0" borderId="0" xfId="3" applyNumberFormat="1" applyFont="1" applyAlignment="1">
      <alignment horizontal="center"/>
    </xf>
    <xf numFmtId="2" fontId="4" fillId="4" borderId="5" xfId="3" applyNumberFormat="1" applyFont="1" applyFill="1" applyBorder="1"/>
    <xf numFmtId="0" fontId="4" fillId="4" borderId="6" xfId="3" applyFont="1" applyFill="1" applyBorder="1" applyAlignment="1">
      <alignment horizontal="center"/>
    </xf>
    <xf numFmtId="0" fontId="2" fillId="3" borderId="15" xfId="3" applyFont="1" applyFill="1" applyBorder="1" applyAlignment="1">
      <alignment horizontal="center"/>
    </xf>
    <xf numFmtId="10" fontId="4" fillId="0" borderId="7" xfId="14" applyNumberFormat="1" applyFont="1" applyFill="1" applyBorder="1" applyAlignment="1" applyProtection="1">
      <alignment horizontal="center"/>
    </xf>
    <xf numFmtId="0" fontId="4" fillId="4" borderId="9" xfId="3" applyFont="1" applyFill="1" applyBorder="1" applyAlignment="1">
      <alignment horizontal="center"/>
    </xf>
    <xf numFmtId="0" fontId="4" fillId="4" borderId="10" xfId="3" applyFont="1" applyFill="1" applyBorder="1" applyAlignment="1">
      <alignment horizontal="center"/>
    </xf>
    <xf numFmtId="0" fontId="4" fillId="4" borderId="12" xfId="3" applyFont="1" applyFill="1" applyBorder="1" applyAlignment="1">
      <alignment horizontal="center"/>
    </xf>
    <xf numFmtId="2" fontId="3" fillId="4" borderId="3" xfId="3" applyNumberFormat="1" applyFont="1" applyFill="1" applyBorder="1"/>
    <xf numFmtId="4" fontId="4" fillId="4" borderId="0" xfId="3" applyNumberFormat="1" applyFont="1" applyFill="1"/>
    <xf numFmtId="0" fontId="22" fillId="4" borderId="0" xfId="3" applyFont="1" applyFill="1"/>
    <xf numFmtId="0" fontId="18" fillId="0" borderId="9" xfId="3" applyFont="1" applyBorder="1" applyAlignment="1">
      <alignment horizontal="center"/>
    </xf>
    <xf numFmtId="0" fontId="4" fillId="4" borderId="9" xfId="3" applyFont="1" applyFill="1" applyBorder="1" applyAlignment="1">
      <alignment horizontal="centerContinuous"/>
    </xf>
    <xf numFmtId="0" fontId="4" fillId="4" borderId="10" xfId="3" applyFont="1" applyFill="1" applyBorder="1" applyAlignment="1">
      <alignment horizontal="centerContinuous"/>
    </xf>
    <xf numFmtId="169" fontId="4" fillId="4" borderId="10" xfId="13" applyFont="1" applyFill="1" applyBorder="1" applyAlignment="1" applyProtection="1">
      <alignment horizontal="right"/>
    </xf>
    <xf numFmtId="0" fontId="18" fillId="0" borderId="0" xfId="3" applyFont="1" applyAlignment="1">
      <alignment horizontal="center"/>
    </xf>
    <xf numFmtId="169" fontId="23" fillId="0" borderId="0" xfId="13" applyFont="1" applyFill="1" applyBorder="1" applyProtection="1"/>
    <xf numFmtId="171" fontId="15" fillId="0" borderId="0" xfId="3" applyNumberFormat="1" applyFont="1"/>
    <xf numFmtId="169" fontId="4" fillId="0" borderId="0" xfId="3" applyNumberFormat="1" applyFont="1" applyAlignment="1">
      <alignment horizontal="left"/>
    </xf>
    <xf numFmtId="169" fontId="3" fillId="0" borderId="0" xfId="13" applyFont="1" applyFill="1" applyProtection="1"/>
    <xf numFmtId="0" fontId="3" fillId="0" borderId="0" xfId="3" applyFont="1" applyAlignment="1">
      <alignment horizontal="center"/>
    </xf>
    <xf numFmtId="0" fontId="19" fillId="0" borderId="0" xfId="3" applyFont="1" applyAlignment="1">
      <alignment horizontal="left"/>
    </xf>
    <xf numFmtId="0" fontId="24" fillId="0" borderId="0" xfId="3" applyFont="1"/>
    <xf numFmtId="44" fontId="28" fillId="12" borderId="28" xfId="4" applyNumberFormat="1" applyFont="1" applyFill="1" applyBorder="1" applyAlignment="1" applyProtection="1">
      <alignment horizontal="center" vertical="center"/>
      <protection hidden="1"/>
    </xf>
    <xf numFmtId="4" fontId="25" fillId="0" borderId="22" xfId="4" applyNumberFormat="1" applyFont="1" applyBorder="1" applyAlignment="1" applyProtection="1">
      <alignment horizontal="center" vertical="center" wrapText="1"/>
      <protection hidden="1"/>
    </xf>
    <xf numFmtId="0" fontId="25" fillId="5" borderId="28" xfId="4" applyFont="1" applyFill="1" applyBorder="1" applyAlignment="1" applyProtection="1">
      <alignment horizontal="center" vertical="center" wrapText="1"/>
      <protection hidden="1"/>
    </xf>
    <xf numFmtId="44" fontId="3" fillId="6" borderId="7" xfId="1" applyNumberFormat="1" applyFont="1" applyFill="1" applyBorder="1" applyAlignment="1" applyProtection="1">
      <alignment vertical="center"/>
    </xf>
    <xf numFmtId="0" fontId="3" fillId="4" borderId="8" xfId="0" applyFont="1" applyFill="1" applyBorder="1" applyAlignment="1">
      <alignment vertical="center"/>
    </xf>
    <xf numFmtId="0" fontId="8" fillId="4" borderId="12" xfId="0" applyFont="1" applyFill="1" applyBorder="1"/>
    <xf numFmtId="4" fontId="15" fillId="4" borderId="5" xfId="0" applyNumberFormat="1" applyFont="1" applyFill="1" applyBorder="1"/>
    <xf numFmtId="0" fontId="4" fillId="4" borderId="0" xfId="0" applyFont="1" applyFill="1" applyAlignment="1">
      <alignment vertical="center" wrapText="1"/>
    </xf>
    <xf numFmtId="171" fontId="14" fillId="3" borderId="7" xfId="1" applyNumberFormat="1" applyFont="1" applyFill="1" applyBorder="1" applyAlignment="1" applyProtection="1">
      <alignment horizontal="right" vertical="center"/>
    </xf>
    <xf numFmtId="44" fontId="37" fillId="0" borderId="7" xfId="10" applyNumberFormat="1" applyFont="1" applyBorder="1" applyAlignment="1">
      <alignment horizontal="center" vertical="center"/>
    </xf>
    <xf numFmtId="44" fontId="38" fillId="0" borderId="7" xfId="10" applyNumberFormat="1" applyFont="1" applyFill="1" applyBorder="1" applyAlignment="1">
      <alignment horizontal="center" vertical="center"/>
    </xf>
    <xf numFmtId="0" fontId="20" fillId="0" borderId="7" xfId="4" applyFont="1" applyBorder="1" applyAlignment="1" applyProtection="1">
      <alignment horizontal="center" vertical="center"/>
      <protection hidden="1"/>
    </xf>
    <xf numFmtId="0" fontId="20" fillId="0" borderId="7" xfId="4" applyFont="1" applyBorder="1" applyAlignment="1" applyProtection="1">
      <alignment horizontal="center" vertical="center" wrapText="1"/>
      <protection hidden="1"/>
    </xf>
    <xf numFmtId="0" fontId="4" fillId="4" borderId="17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left"/>
    </xf>
    <xf numFmtId="2" fontId="3" fillId="4" borderId="31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justify" vertical="center" wrapText="1"/>
    </xf>
    <xf numFmtId="0" fontId="3" fillId="4" borderId="7" xfId="0" applyFont="1" applyFill="1" applyBorder="1" applyAlignment="1">
      <alignment horizontal="center" vertical="center" wrapText="1"/>
    </xf>
    <xf numFmtId="164" fontId="4" fillId="4" borderId="7" xfId="15" applyFont="1" applyFill="1" applyBorder="1" applyAlignment="1" applyProtection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/>
    </xf>
    <xf numFmtId="0" fontId="3" fillId="4" borderId="0" xfId="0" applyFont="1" applyFill="1" applyAlignment="1">
      <alignment horizontal="justify" vertical="center" wrapText="1"/>
    </xf>
    <xf numFmtId="44" fontId="3" fillId="6" borderId="19" xfId="1" applyNumberFormat="1" applyFont="1" applyFill="1" applyBorder="1" applyAlignment="1" applyProtection="1">
      <alignment vertical="center"/>
    </xf>
    <xf numFmtId="2" fontId="3" fillId="4" borderId="25" xfId="0" applyNumberFormat="1" applyFont="1" applyFill="1" applyBorder="1" applyAlignment="1">
      <alignment horizontal="center" vertical="center"/>
    </xf>
    <xf numFmtId="171" fontId="3" fillId="4" borderId="25" xfId="0" applyNumberFormat="1" applyFont="1" applyFill="1" applyBorder="1" applyAlignment="1">
      <alignment horizontal="center" vertical="center"/>
    </xf>
    <xf numFmtId="44" fontId="3" fillId="6" borderId="18" xfId="1" applyNumberFormat="1" applyFont="1" applyFill="1" applyBorder="1" applyAlignment="1" applyProtection="1">
      <alignment vertical="center"/>
    </xf>
    <xf numFmtId="2" fontId="3" fillId="4" borderId="0" xfId="0" applyNumberFormat="1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71" fontId="3" fillId="4" borderId="0" xfId="0" applyNumberFormat="1" applyFont="1" applyFill="1" applyAlignment="1">
      <alignment horizontal="center" vertical="center"/>
    </xf>
    <xf numFmtId="44" fontId="3" fillId="15" borderId="14" xfId="1" applyNumberFormat="1" applyFont="1" applyFill="1" applyBorder="1" applyAlignment="1" applyProtection="1">
      <alignment vertical="center"/>
    </xf>
    <xf numFmtId="169" fontId="8" fillId="3" borderId="18" xfId="1" applyFont="1" applyFill="1" applyBorder="1" applyAlignment="1" applyProtection="1">
      <alignment horizontal="right"/>
    </xf>
    <xf numFmtId="0" fontId="25" fillId="5" borderId="7" xfId="4" applyFont="1" applyFill="1" applyBorder="1" applyAlignment="1" applyProtection="1">
      <alignment horizontal="center" vertical="center" wrapText="1"/>
      <protection hidden="1"/>
    </xf>
    <xf numFmtId="0" fontId="44" fillId="4" borderId="8" xfId="0" applyFont="1" applyFill="1" applyBorder="1"/>
    <xf numFmtId="0" fontId="45" fillId="0" borderId="0" xfId="0" applyFont="1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8" xfId="0" applyFont="1" applyFill="1" applyBorder="1" applyAlignment="1" applyProtection="1">
      <alignment horizontal="center"/>
      <protection hidden="1"/>
    </xf>
    <xf numFmtId="0" fontId="2" fillId="3" borderId="22" xfId="0" applyFont="1" applyFill="1" applyBorder="1" applyAlignment="1" applyProtection="1">
      <alignment horizontal="center"/>
      <protection hidden="1"/>
    </xf>
    <xf numFmtId="0" fontId="25" fillId="0" borderId="7" xfId="4" applyFont="1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40" fillId="3" borderId="28" xfId="0" applyFont="1" applyFill="1" applyBorder="1" applyAlignment="1" applyProtection="1">
      <alignment horizontal="center" vertical="center"/>
      <protection hidden="1"/>
    </xf>
    <xf numFmtId="44" fontId="2" fillId="3" borderId="28" xfId="0" applyNumberFormat="1" applyFont="1" applyFill="1" applyBorder="1" applyAlignment="1" applyProtection="1">
      <alignment horizontal="center" vertical="center"/>
      <protection hidden="1"/>
    </xf>
    <xf numFmtId="44" fontId="2" fillId="3" borderId="27" xfId="0" applyNumberFormat="1" applyFont="1" applyFill="1" applyBorder="1" applyAlignment="1" applyProtection="1">
      <alignment horizontal="center" vertical="center"/>
      <protection hidden="1"/>
    </xf>
    <xf numFmtId="0" fontId="2" fillId="3" borderId="28" xfId="0" applyFont="1" applyFill="1" applyBorder="1" applyAlignment="1" applyProtection="1">
      <alignment horizontal="center" vertical="center"/>
      <protection hidden="1"/>
    </xf>
    <xf numFmtId="0" fontId="2" fillId="3" borderId="27" xfId="0" applyFont="1" applyFill="1" applyBorder="1" applyAlignment="1" applyProtection="1">
      <alignment horizontal="center" vertical="center"/>
      <protection hidden="1"/>
    </xf>
    <xf numFmtId="0" fontId="37" fillId="0" borderId="19" xfId="8" applyFont="1" applyBorder="1" applyAlignment="1">
      <alignment horizontal="center" vertical="center"/>
    </xf>
    <xf numFmtId="0" fontId="37" fillId="0" borderId="18" xfId="8" applyFont="1" applyBorder="1" applyAlignment="1">
      <alignment horizontal="center" vertical="center"/>
    </xf>
    <xf numFmtId="0" fontId="37" fillId="0" borderId="23" xfId="8" applyFont="1" applyBorder="1" applyAlignment="1">
      <alignment horizontal="left" vertical="center" wrapText="1"/>
    </xf>
    <xf numFmtId="0" fontId="37" fillId="0" borderId="22" xfId="8" applyFont="1" applyBorder="1" applyAlignment="1">
      <alignment horizontal="left" vertical="center" wrapText="1"/>
    </xf>
    <xf numFmtId="0" fontId="37" fillId="0" borderId="24" xfId="8" applyFont="1" applyBorder="1" applyAlignment="1">
      <alignment horizontal="left" vertical="center" wrapText="1"/>
    </xf>
    <xf numFmtId="0" fontId="37" fillId="0" borderId="29" xfId="8" applyFont="1" applyBorder="1" applyAlignment="1">
      <alignment horizontal="left" vertical="center" wrapText="1"/>
    </xf>
    <xf numFmtId="0" fontId="37" fillId="0" borderId="15" xfId="8" applyFont="1" applyBorder="1" applyAlignment="1">
      <alignment horizontal="center" vertical="center"/>
    </xf>
    <xf numFmtId="0" fontId="37" fillId="0" borderId="17" xfId="8" applyFont="1" applyBorder="1" applyAlignment="1">
      <alignment horizontal="center" vertical="center"/>
    </xf>
    <xf numFmtId="0" fontId="37" fillId="0" borderId="7" xfId="8" applyFont="1" applyBorder="1" applyAlignment="1">
      <alignment horizontal="left" vertical="center" wrapText="1"/>
    </xf>
    <xf numFmtId="0" fontId="35" fillId="0" borderId="7" xfId="8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5" borderId="15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/>
    </xf>
    <xf numFmtId="0" fontId="4" fillId="5" borderId="17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33" fillId="5" borderId="15" xfId="0" applyFont="1" applyFill="1" applyBorder="1" applyAlignment="1">
      <alignment horizontal="left"/>
    </xf>
    <xf numFmtId="0" fontId="4" fillId="5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7" fontId="3" fillId="4" borderId="6" xfId="0" applyNumberFormat="1" applyFont="1" applyFill="1" applyBorder="1" applyAlignment="1">
      <alignment horizontal="center" vertical="center" wrapText="1"/>
    </xf>
    <xf numFmtId="167" fontId="3" fillId="4" borderId="9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top"/>
    </xf>
    <xf numFmtId="0" fontId="4" fillId="0" borderId="25" xfId="0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1" fillId="3" borderId="15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0" fontId="4" fillId="8" borderId="0" xfId="0" quotePrefix="1" applyFont="1" applyFill="1" applyAlignment="1">
      <alignment horizontal="center"/>
    </xf>
    <xf numFmtId="0" fontId="7" fillId="4" borderId="6" xfId="0" quotePrefix="1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14" xfId="0" applyFont="1" applyFill="1" applyBorder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0" fontId="4" fillId="4" borderId="15" xfId="0" applyFont="1" applyFill="1" applyBorder="1" applyAlignment="1">
      <alignment horizontal="right"/>
    </xf>
    <xf numFmtId="0" fontId="4" fillId="4" borderId="17" xfId="0" applyFont="1" applyFill="1" applyBorder="1" applyAlignment="1">
      <alignment horizontal="right"/>
    </xf>
    <xf numFmtId="0" fontId="33" fillId="4" borderId="1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4" borderId="0" xfId="0" quotePrefix="1" applyFont="1" applyFill="1" applyAlignment="1">
      <alignment horizontal="center"/>
    </xf>
    <xf numFmtId="0" fontId="7" fillId="4" borderId="14" xfId="0" quotePrefix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15" borderId="15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2" fontId="3" fillId="4" borderId="16" xfId="0" applyNumberFormat="1" applyFont="1" applyFill="1" applyBorder="1" applyAlignment="1">
      <alignment horizontal="center" vertical="center"/>
    </xf>
    <xf numFmtId="2" fontId="3" fillId="4" borderId="17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2" fontId="3" fillId="4" borderId="28" xfId="0" applyNumberFormat="1" applyFont="1" applyFill="1" applyBorder="1" applyAlignment="1">
      <alignment horizontal="center" vertical="center"/>
    </xf>
    <xf numFmtId="2" fontId="3" fillId="4" borderId="22" xfId="0" applyNumberFormat="1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5" xfId="3" applyFont="1" applyFill="1" applyBorder="1" applyAlignment="1">
      <alignment horizontal="left"/>
    </xf>
    <xf numFmtId="0" fontId="3" fillId="4" borderId="17" xfId="3" applyFont="1" applyFill="1" applyBorder="1" applyAlignment="1">
      <alignment horizontal="left"/>
    </xf>
    <xf numFmtId="0" fontId="1" fillId="2" borderId="2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/>
    </xf>
    <xf numFmtId="0" fontId="1" fillId="2" borderId="6" xfId="3" applyFont="1" applyFill="1" applyBorder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0" fontId="1" fillId="2" borderId="8" xfId="3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center" vertical="center" wrapText="1"/>
    </xf>
    <xf numFmtId="0" fontId="2" fillId="3" borderId="0" xfId="3" applyFont="1" applyFill="1" applyAlignment="1">
      <alignment horizontal="center" vertical="center" wrapText="1"/>
    </xf>
    <xf numFmtId="0" fontId="2" fillId="3" borderId="8" xfId="3" applyFont="1" applyFill="1" applyBorder="1" applyAlignment="1">
      <alignment horizontal="center" vertical="center" wrapText="1"/>
    </xf>
    <xf numFmtId="0" fontId="2" fillId="3" borderId="6" xfId="3" applyFont="1" applyFill="1" applyBorder="1" applyAlignment="1">
      <alignment horizontal="center"/>
    </xf>
    <xf numFmtId="0" fontId="2" fillId="3" borderId="0" xfId="3" applyFont="1" applyFill="1" applyAlignment="1">
      <alignment horizontal="center"/>
    </xf>
    <xf numFmtId="0" fontId="2" fillId="3" borderId="8" xfId="3" applyFont="1" applyFill="1" applyBorder="1" applyAlignment="1">
      <alignment horizontal="center"/>
    </xf>
    <xf numFmtId="0" fontId="4" fillId="5" borderId="15" xfId="3" applyFont="1" applyFill="1" applyBorder="1" applyAlignment="1">
      <alignment horizontal="left"/>
    </xf>
    <xf numFmtId="0" fontId="4" fillId="5" borderId="16" xfId="3" applyFont="1" applyFill="1" applyBorder="1" applyAlignment="1">
      <alignment horizontal="left"/>
    </xf>
    <xf numFmtId="0" fontId="4" fillId="5" borderId="17" xfId="3" applyFont="1" applyFill="1" applyBorder="1" applyAlignment="1">
      <alignment horizontal="left"/>
    </xf>
    <xf numFmtId="0" fontId="4" fillId="4" borderId="15" xfId="3" applyFont="1" applyFill="1" applyBorder="1" applyAlignment="1">
      <alignment horizontal="center"/>
    </xf>
    <xf numFmtId="0" fontId="4" fillId="4" borderId="17" xfId="3" applyFont="1" applyFill="1" applyBorder="1" applyAlignment="1">
      <alignment horizontal="center"/>
    </xf>
    <xf numFmtId="167" fontId="3" fillId="4" borderId="6" xfId="3" applyNumberFormat="1" applyFont="1" applyFill="1" applyBorder="1" applyAlignment="1">
      <alignment horizontal="center" vertical="center" wrapText="1"/>
    </xf>
    <xf numFmtId="167" fontId="3" fillId="4" borderId="9" xfId="3" applyNumberFormat="1" applyFont="1" applyFill="1" applyBorder="1" applyAlignment="1">
      <alignment horizontal="center" vertical="center" wrapText="1"/>
    </xf>
    <xf numFmtId="0" fontId="4" fillId="5" borderId="6" xfId="3" applyFont="1" applyFill="1" applyBorder="1" applyAlignment="1">
      <alignment horizontal="center"/>
    </xf>
    <xf numFmtId="0" fontId="4" fillId="5" borderId="0" xfId="3" applyFont="1" applyFill="1" applyAlignment="1">
      <alignment horizontal="center"/>
    </xf>
    <xf numFmtId="0" fontId="4" fillId="5" borderId="8" xfId="3" applyFont="1" applyFill="1" applyBorder="1" applyAlignment="1">
      <alignment horizontal="center"/>
    </xf>
    <xf numFmtId="0" fontId="4" fillId="4" borderId="16" xfId="3" applyFont="1" applyFill="1" applyBorder="1" applyAlignment="1">
      <alignment horizontal="center"/>
    </xf>
    <xf numFmtId="0" fontId="4" fillId="4" borderId="7" xfId="3" applyFont="1" applyFill="1" applyBorder="1" applyAlignment="1">
      <alignment horizontal="center"/>
    </xf>
    <xf numFmtId="0" fontId="4" fillId="8" borderId="6" xfId="3" applyFont="1" applyFill="1" applyBorder="1" applyAlignment="1">
      <alignment horizontal="center"/>
    </xf>
    <xf numFmtId="0" fontId="4" fillId="8" borderId="0" xfId="3" applyFont="1" applyFill="1" applyAlignment="1">
      <alignment horizontal="center"/>
    </xf>
    <xf numFmtId="0" fontId="4" fillId="8" borderId="8" xfId="3" applyFont="1" applyFill="1" applyBorder="1" applyAlignment="1">
      <alignment horizontal="center"/>
    </xf>
    <xf numFmtId="0" fontId="4" fillId="8" borderId="6" xfId="3" quotePrefix="1" applyFont="1" applyFill="1" applyBorder="1" applyAlignment="1">
      <alignment horizontal="center"/>
    </xf>
    <xf numFmtId="0" fontId="7" fillId="4" borderId="6" xfId="3" quotePrefix="1" applyFont="1" applyFill="1" applyBorder="1" applyAlignment="1">
      <alignment horizontal="center"/>
    </xf>
    <xf numFmtId="0" fontId="7" fillId="4" borderId="0" xfId="3" applyFont="1" applyFill="1" applyAlignment="1">
      <alignment horizontal="center"/>
    </xf>
    <xf numFmtId="0" fontId="7" fillId="4" borderId="14" xfId="3" applyFont="1" applyFill="1" applyBorder="1" applyAlignment="1">
      <alignment horizontal="center"/>
    </xf>
    <xf numFmtId="0" fontId="21" fillId="3" borderId="7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4" fillId="0" borderId="19" xfId="3" applyFont="1" applyBorder="1" applyAlignment="1">
      <alignment horizontal="center" vertical="center"/>
    </xf>
    <xf numFmtId="0" fontId="4" fillId="0" borderId="25" xfId="3" applyFont="1" applyBorder="1" applyAlignment="1">
      <alignment horizontal="center" vertical="center"/>
    </xf>
    <xf numFmtId="0" fontId="21" fillId="3" borderId="15" xfId="3" applyFont="1" applyFill="1" applyBorder="1" applyAlignment="1">
      <alignment horizontal="center"/>
    </xf>
    <xf numFmtId="0" fontId="21" fillId="3" borderId="17" xfId="3" applyFont="1" applyFill="1" applyBorder="1" applyAlignment="1">
      <alignment horizontal="center"/>
    </xf>
  </cellXfs>
  <cellStyles count="16">
    <cellStyle name="Moeda" xfId="15" builtinId="4"/>
    <cellStyle name="Moeda 2" xfId="9"/>
    <cellStyle name="Normal" xfId="0" builtinId="0"/>
    <cellStyle name="Normal 2" xfId="3"/>
    <cellStyle name="Normal 3" xfId="8"/>
    <cellStyle name="Normal 4" xfId="4"/>
    <cellStyle name="Porcentagem" xfId="2" builtinId="5"/>
    <cellStyle name="Porcentagem 2" xfId="5"/>
    <cellStyle name="Porcentagem 3" xfId="10"/>
    <cellStyle name="Porcentagem 4" xfId="12"/>
    <cellStyle name="Porcentagem 4 2" xfId="14"/>
    <cellStyle name="Vírgula" xfId="1" builtinId="3"/>
    <cellStyle name="Vírgula 2" xfId="6"/>
    <cellStyle name="Vírgula 3" xfId="11"/>
    <cellStyle name="Vírgula 3 2" xfId="13"/>
    <cellStyle name="Vírgula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CURVA</a:t>
            </a:r>
            <a:r>
              <a:rPr lang="pt-BR" baseline="0"/>
              <a:t> ABC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'CURVA ABC'!$D$3</c:f>
              <c:strCache>
                <c:ptCount val="1"/>
                <c:pt idx="0">
                  <c:v>% INDIVIDUAL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'CURVA ABC'!$D$4:$D$8</c:f>
              <c:numCache>
                <c:formatCode>0.00%</c:formatCode>
                <c:ptCount val="5"/>
                <c:pt idx="0">
                  <c:v>0.78001727449057023</c:v>
                </c:pt>
                <c:pt idx="1">
                  <c:v>1.411454046192568E-2</c:v>
                </c:pt>
                <c:pt idx="2">
                  <c:v>0.12520431098701526</c:v>
                </c:pt>
                <c:pt idx="3">
                  <c:v>3.6444916307473894E-2</c:v>
                </c:pt>
                <c:pt idx="4">
                  <c:v>4.4218957753014952E-2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24-478D-8F28-794A4BCAE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594944"/>
        <c:axId val="-1588594400"/>
      </c:barChart>
      <c:lineChart>
        <c:grouping val="standard"/>
        <c:varyColors val="0"/>
        <c:ser>
          <c:idx val="1"/>
          <c:order val="1"/>
          <c:tx>
            <c:strRef>
              <c:f>'CURVA ABC'!$E$3</c:f>
              <c:strCache>
                <c:ptCount val="1"/>
                <c:pt idx="0">
                  <c:v>% ACUMULADO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'CURVA ABC'!$E$4:$E$8</c:f>
              <c:numCache>
                <c:formatCode>0.00%</c:formatCode>
                <c:ptCount val="5"/>
                <c:pt idx="0">
                  <c:v>0.78001727449057023</c:v>
                </c:pt>
                <c:pt idx="1">
                  <c:v>0.79413181495249596</c:v>
                </c:pt>
                <c:pt idx="2">
                  <c:v>0.9193361259395112</c:v>
                </c:pt>
                <c:pt idx="3">
                  <c:v>0.95578104224698512</c:v>
                </c:pt>
                <c:pt idx="4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24-478D-8F28-794A4BCAE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8594944"/>
        <c:axId val="-1588594400"/>
      </c:lineChart>
      <c:catAx>
        <c:axId val="-1588594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pt-BR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Item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pt-BR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8594400"/>
        <c:crosses val="autoZero"/>
        <c:auto val="1"/>
        <c:lblAlgn val="ctr"/>
        <c:lblOffset val="100"/>
        <c:noMultiLvlLbl val="0"/>
      </c:catAx>
      <c:valAx>
        <c:axId val="-158859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pt-BR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pt-BR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58859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313-416B-A568-C9BC3802A5E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13-416B-A568-C9BC3802A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5D1-4B0F-8A36-202FE02C227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D1-4B0F-8A36-202FE02C2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A9-454D-9A74-8E6AC6DF156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A9-454D-9A74-8E6AC6DF1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71E-44A4-9818-FFCDC2CC7C8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1E-44A4-9818-FFCDC2CC7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C4B7-48B2-B5F5-CA70956C1BC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B7-48B2-B5F5-CA70956C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4A7-4141-BA69-C48053C96F3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A7-4141-BA69-C48053C96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40F-43FA-9A77-B5730F2AF39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0F-43FA-9A77-B5730F2AF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C20-42C6-A0A1-6ED9F62AA40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20-42C6-A0A1-6ED9F62A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E02-49B5-B80E-1F47C4E46B9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02-49B5-B80E-1F47C4E46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E0C-441F-8513-F2B8BD43DBD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pt-BR" sz="375" b="0" i="0" u="none" strike="noStrike" kern="1200" baseline="0">
                    <a:solidFill>
                      <a:srgbClr val="000000"/>
                    </a:solidFill>
                    <a:latin typeface="Arial" panose="020B0604020202020204"/>
                    <a:ea typeface="Arial" panose="020B0604020202020204"/>
                    <a:cs typeface="Arial" panose="020B0604020202020204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0C-441F-8513-F2B8BD43D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pt-BR" sz="16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pt-BR"/>
        </a:p>
      </c:txPr>
    </c:legend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pt-BR" sz="2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2034540</xdr:colOff>
      <xdr:row>9</xdr:row>
      <xdr:rowOff>160020</xdr:rowOff>
    </xdr:from>
    <xdr:to>
      <xdr:col>5</xdr:col>
      <xdr:colOff>159716</xdr:colOff>
      <xdr:row>31</xdr:row>
      <xdr:rowOff>125117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35BBBCC-1B8D-4802-ACA3-AD2AE9792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118</xdr:row>
      <xdr:rowOff>0</xdr:rowOff>
    </xdr:from>
    <xdr:to>
      <xdr:col>7</xdr:col>
      <xdr:colOff>0</xdr:colOff>
      <xdr:row>126</xdr:row>
      <xdr:rowOff>0</xdr:rowOff>
    </xdr:to>
    <xdr:graphicFrame macro="">
      <xdr:nvGraphicFramePr>
        <xdr:cNvPr id="750904" name="Chart 1">
          <a:extLst>
            <a:ext uri="{FF2B5EF4-FFF2-40B4-BE49-F238E27FC236}">
              <a16:creationId xmlns="" xmlns:a16="http://schemas.microsoft.com/office/drawing/2014/main" id="{00000000-0008-0000-0500-000038750B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118</xdr:row>
      <xdr:rowOff>0</xdr:rowOff>
    </xdr:from>
    <xdr:to>
      <xdr:col>7</xdr:col>
      <xdr:colOff>0</xdr:colOff>
      <xdr:row>126</xdr:row>
      <xdr:rowOff>0</xdr:rowOff>
    </xdr:to>
    <xdr:graphicFrame macro="">
      <xdr:nvGraphicFramePr>
        <xdr:cNvPr id="750905" name="Chart 2">
          <a:extLst>
            <a:ext uri="{FF2B5EF4-FFF2-40B4-BE49-F238E27FC236}">
              <a16:creationId xmlns="" xmlns:a16="http://schemas.microsoft.com/office/drawing/2014/main" id="{00000000-0008-0000-0500-000039750B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76200</xdr:colOff>
      <xdr:row>575</xdr:row>
      <xdr:rowOff>9525</xdr:rowOff>
    </xdr:from>
    <xdr:to>
      <xdr:col>4</xdr:col>
      <xdr:colOff>42013</xdr:colOff>
      <xdr:row>578</xdr:row>
      <xdr:rowOff>74516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4395" y="83067525"/>
          <a:ext cx="6417310" cy="5029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117</xdr:row>
      <xdr:rowOff>0</xdr:rowOff>
    </xdr:from>
    <xdr:to>
      <xdr:col>7</xdr:col>
      <xdr:colOff>0</xdr:colOff>
      <xdr:row>125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0C0DF77-9192-4221-BCB2-AEAAFF102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117</xdr:row>
      <xdr:rowOff>0</xdr:rowOff>
    </xdr:from>
    <xdr:to>
      <xdr:col>7</xdr:col>
      <xdr:colOff>0</xdr:colOff>
      <xdr:row>125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8577BA66-DE60-4962-8E38-504A96902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76200</xdr:colOff>
      <xdr:row>571</xdr:row>
      <xdr:rowOff>9525</xdr:rowOff>
    </xdr:from>
    <xdr:to>
      <xdr:col>4</xdr:col>
      <xdr:colOff>357529</xdr:colOff>
      <xdr:row>574</xdr:row>
      <xdr:rowOff>74516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24824AC8-3CA2-4DEE-840D-6718EAB5C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1060" y="57060465"/>
          <a:ext cx="6293509" cy="499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86</xdr:row>
      <xdr:rowOff>0</xdr:rowOff>
    </xdr:from>
    <xdr:to>
      <xdr:col>8</xdr:col>
      <xdr:colOff>0</xdr:colOff>
      <xdr:row>94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74AFFC94-A562-4E7F-8790-53BF99D75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8</xdr:col>
      <xdr:colOff>0</xdr:colOff>
      <xdr:row>94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DBF0FDB-4773-47F1-9CB4-4DBA8B4A0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371475</xdr:colOff>
      <xdr:row>389</xdr:row>
      <xdr:rowOff>47625</xdr:rowOff>
    </xdr:from>
    <xdr:to>
      <xdr:col>4</xdr:col>
      <xdr:colOff>443254</xdr:colOff>
      <xdr:row>392</xdr:row>
      <xdr:rowOff>45383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815EBC2D-0BE1-4C24-9718-2486F195B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6335" y="42529125"/>
          <a:ext cx="6320179" cy="500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109</xdr:row>
      <xdr:rowOff>0</xdr:rowOff>
    </xdr:from>
    <xdr:to>
      <xdr:col>7</xdr:col>
      <xdr:colOff>0</xdr:colOff>
      <xdr:row>117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BF112735-B7F1-4BB3-882A-B3738F9A7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109</xdr:row>
      <xdr:rowOff>0</xdr:rowOff>
    </xdr:from>
    <xdr:to>
      <xdr:col>7</xdr:col>
      <xdr:colOff>0</xdr:colOff>
      <xdr:row>117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5B33C4B-E474-4FF4-BBA4-850BC8B35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76200</xdr:colOff>
      <xdr:row>464</xdr:row>
      <xdr:rowOff>9525</xdr:rowOff>
    </xdr:from>
    <xdr:to>
      <xdr:col>4</xdr:col>
      <xdr:colOff>230529</xdr:colOff>
      <xdr:row>467</xdr:row>
      <xdr:rowOff>74516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7F063481-B5EB-4756-BDE7-0774B99F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1060" y="57060465"/>
          <a:ext cx="6296049" cy="499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226</xdr:row>
      <xdr:rowOff>9525</xdr:rowOff>
    </xdr:from>
    <xdr:to>
      <xdr:col>4</xdr:col>
      <xdr:colOff>230529</xdr:colOff>
      <xdr:row>229</xdr:row>
      <xdr:rowOff>74516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FE845853-20B1-4257-8038-C3D7ED138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" y="46179105"/>
          <a:ext cx="6296049" cy="4993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87</xdr:row>
      <xdr:rowOff>0</xdr:rowOff>
    </xdr:from>
    <xdr:to>
      <xdr:col>7</xdr:col>
      <xdr:colOff>0</xdr:colOff>
      <xdr:row>95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22AE3F0-27E7-4A5D-9F48-29C1D2890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87</xdr:row>
      <xdr:rowOff>0</xdr:rowOff>
    </xdr:from>
    <xdr:to>
      <xdr:col>7</xdr:col>
      <xdr:colOff>0</xdr:colOff>
      <xdr:row>95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3509CF33-73F2-49AD-A86A-05E85F1A5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371475</xdr:colOff>
      <xdr:row>427</xdr:row>
      <xdr:rowOff>47625</xdr:rowOff>
    </xdr:from>
    <xdr:to>
      <xdr:col>3</xdr:col>
      <xdr:colOff>3241699</xdr:colOff>
      <xdr:row>430</xdr:row>
      <xdr:rowOff>131108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C5E47967-A007-49B8-94EE-4E6E3EFAA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6335" y="42430065"/>
          <a:ext cx="6314464" cy="517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TOS\LIC.%20LIXO\CH&#195;%20GRANDE\CH&#195;%20GRANDE_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E ENTRADA"/>
      <sheetName val="Encargos Sociais"/>
      <sheetName val="QUADRO GERAL"/>
      <sheetName val="CRONOGRAMA"/>
      <sheetName val="01-Coleta domiciliar"/>
      <sheetName val="02-Coleta capinação"/>
      <sheetName val="03-Capinação manual"/>
      <sheetName val="04-Varrição manual"/>
      <sheetName val="05-Pintura de meio fio"/>
      <sheetName val="06-Espaço público"/>
      <sheetName val="07-Administração local"/>
    </sheetNames>
    <sheetDataSet>
      <sheetData sheetId="0">
        <row r="5">
          <cell r="B5">
            <v>26.08</v>
          </cell>
        </row>
        <row r="7">
          <cell r="E7">
            <v>195</v>
          </cell>
        </row>
        <row r="8">
          <cell r="E8">
            <v>4.33</v>
          </cell>
        </row>
        <row r="11">
          <cell r="E11">
            <v>44.66</v>
          </cell>
        </row>
        <row r="15">
          <cell r="E15">
            <v>2137.4</v>
          </cell>
        </row>
        <row r="16">
          <cell r="E16">
            <v>22.72</v>
          </cell>
        </row>
        <row r="18">
          <cell r="E18">
            <v>0.2</v>
          </cell>
        </row>
        <row r="19">
          <cell r="E19">
            <v>11.33</v>
          </cell>
        </row>
        <row r="27">
          <cell r="H27">
            <v>3.8</v>
          </cell>
        </row>
        <row r="35">
          <cell r="B35">
            <v>0.52200000000000002</v>
          </cell>
        </row>
        <row r="63">
          <cell r="H63">
            <v>844</v>
          </cell>
        </row>
        <row r="64">
          <cell r="H64">
            <v>1044</v>
          </cell>
        </row>
        <row r="65">
          <cell r="H65">
            <v>170</v>
          </cell>
        </row>
        <row r="70">
          <cell r="H70">
            <v>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topLeftCell="A36" zoomScale="80" zoomScaleNormal="100" zoomScaleSheetLayoutView="80" workbookViewId="0">
      <selection activeCell="A68" sqref="A68"/>
    </sheetView>
  </sheetViews>
  <sheetFormatPr defaultColWidth="9" defaultRowHeight="13.2"/>
  <cols>
    <col min="1" max="1" width="40" customWidth="1"/>
    <col min="2" max="2" width="11.44140625" customWidth="1"/>
    <col min="3" max="3" width="17.44140625" customWidth="1"/>
    <col min="4" max="4" width="38.6640625" customWidth="1"/>
    <col min="5" max="5" width="17.44140625" customWidth="1"/>
    <col min="6" max="6" width="18.5546875" customWidth="1"/>
    <col min="7" max="7" width="39.6640625" customWidth="1"/>
    <col min="8" max="8" width="17.5546875" customWidth="1"/>
    <col min="9" max="9" width="15.109375" customWidth="1"/>
    <col min="10" max="10" width="13.109375" customWidth="1"/>
    <col min="11" max="11" width="12.109375" customWidth="1"/>
  </cols>
  <sheetData>
    <row r="1" spans="1:8" ht="32.4" customHeight="1">
      <c r="A1" s="730" t="s">
        <v>0</v>
      </c>
      <c r="B1" s="730"/>
      <c r="C1" s="730"/>
      <c r="D1" s="730"/>
      <c r="E1" s="730"/>
      <c r="F1" s="730"/>
      <c r="G1" s="730"/>
      <c r="H1" s="730"/>
    </row>
    <row r="2" spans="1:8" ht="19.95" customHeight="1"/>
    <row r="3" spans="1:8">
      <c r="A3" s="268" t="s">
        <v>1</v>
      </c>
      <c r="B3" s="269"/>
      <c r="C3" s="270"/>
      <c r="D3" s="271" t="s">
        <v>2</v>
      </c>
      <c r="E3" s="269"/>
      <c r="F3" s="270"/>
      <c r="G3" s="268" t="s">
        <v>3</v>
      </c>
      <c r="H3" s="269"/>
    </row>
    <row r="4" spans="1:8">
      <c r="A4" s="272"/>
      <c r="C4" s="273"/>
      <c r="D4" s="380" t="s">
        <v>4</v>
      </c>
      <c r="E4" s="274">
        <v>15.88</v>
      </c>
      <c r="F4" s="273"/>
      <c r="G4" s="272"/>
    </row>
    <row r="5" spans="1:8">
      <c r="A5" s="275" t="s">
        <v>5</v>
      </c>
      <c r="B5" s="276">
        <v>26.09</v>
      </c>
      <c r="C5" s="273" t="s">
        <v>6</v>
      </c>
      <c r="D5" s="283" t="s">
        <v>7</v>
      </c>
      <c r="E5" s="277">
        <v>3.8</v>
      </c>
      <c r="F5" s="273"/>
      <c r="G5" s="275" t="s">
        <v>8</v>
      </c>
      <c r="H5" s="278">
        <v>2.8</v>
      </c>
    </row>
    <row r="6" spans="1:8">
      <c r="A6" s="275" t="s">
        <v>9</v>
      </c>
      <c r="B6" s="279">
        <v>8</v>
      </c>
      <c r="C6" s="273" t="s">
        <v>10</v>
      </c>
      <c r="D6" s="283" t="s">
        <v>11</v>
      </c>
      <c r="E6" s="280">
        <v>36.020000000000003</v>
      </c>
      <c r="F6" s="273"/>
      <c r="G6" s="275" t="s">
        <v>12</v>
      </c>
      <c r="H6" s="278">
        <v>0</v>
      </c>
    </row>
    <row r="7" spans="1:8">
      <c r="A7" s="281" t="s">
        <v>13</v>
      </c>
      <c r="B7" s="279">
        <v>4</v>
      </c>
      <c r="C7" s="273" t="s">
        <v>10</v>
      </c>
      <c r="D7" s="283" t="s">
        <v>14</v>
      </c>
      <c r="E7" s="274">
        <v>173.28</v>
      </c>
      <c r="F7" s="273"/>
      <c r="G7" s="275" t="s">
        <v>15</v>
      </c>
      <c r="H7" s="278">
        <v>1.8</v>
      </c>
    </row>
    <row r="8" spans="1:8">
      <c r="A8" s="275" t="s">
        <v>16</v>
      </c>
      <c r="B8" s="279">
        <f>B6*5+B7</f>
        <v>44</v>
      </c>
      <c r="C8" s="273" t="s">
        <v>17</v>
      </c>
      <c r="D8" s="282" t="s">
        <v>18</v>
      </c>
      <c r="E8" s="274">
        <v>24.8</v>
      </c>
      <c r="F8" s="273"/>
      <c r="G8" s="275" t="s">
        <v>19</v>
      </c>
      <c r="H8" s="278">
        <v>0</v>
      </c>
    </row>
    <row r="9" spans="1:8">
      <c r="A9" s="275" t="s">
        <v>20</v>
      </c>
      <c r="B9" s="279">
        <f>B8*5</f>
        <v>220</v>
      </c>
      <c r="C9" s="273" t="s">
        <v>21</v>
      </c>
      <c r="D9" s="282" t="s">
        <v>22</v>
      </c>
      <c r="E9" s="274">
        <v>15.97</v>
      </c>
      <c r="F9" s="273"/>
      <c r="G9" s="275" t="s">
        <v>23</v>
      </c>
      <c r="H9" s="278">
        <v>10</v>
      </c>
    </row>
    <row r="10" spans="1:8">
      <c r="A10" s="275" t="s">
        <v>24</v>
      </c>
      <c r="B10" s="279">
        <v>4.33</v>
      </c>
      <c r="C10" s="273" t="s">
        <v>25</v>
      </c>
      <c r="D10" s="283" t="s">
        <v>26</v>
      </c>
      <c r="E10" s="280">
        <v>230.99</v>
      </c>
      <c r="F10" s="273"/>
      <c r="G10" s="275" t="s">
        <v>27</v>
      </c>
      <c r="H10" s="278">
        <v>0</v>
      </c>
    </row>
    <row r="11" spans="1:8">
      <c r="A11" s="284" t="s">
        <v>28</v>
      </c>
      <c r="B11" s="285">
        <v>1.08</v>
      </c>
      <c r="C11" s="286" t="s">
        <v>25</v>
      </c>
      <c r="D11" s="283" t="s">
        <v>29</v>
      </c>
      <c r="E11" s="287">
        <v>44.66</v>
      </c>
      <c r="F11" s="273"/>
      <c r="G11" s="275" t="s">
        <v>30</v>
      </c>
      <c r="H11" s="278">
        <v>0</v>
      </c>
    </row>
    <row r="12" spans="1:8">
      <c r="D12" s="283" t="s">
        <v>31</v>
      </c>
      <c r="E12" s="287">
        <v>24.6</v>
      </c>
      <c r="F12" s="273"/>
      <c r="G12" s="275" t="s">
        <v>32</v>
      </c>
      <c r="H12" s="278">
        <v>0</v>
      </c>
    </row>
    <row r="13" spans="1:8">
      <c r="A13" s="268" t="s">
        <v>33</v>
      </c>
      <c r="B13" s="288"/>
      <c r="C13" s="269"/>
      <c r="D13" s="283" t="s">
        <v>34</v>
      </c>
      <c r="E13" s="287">
        <v>161.22999999999999</v>
      </c>
      <c r="F13" s="273"/>
      <c r="G13" s="275" t="s">
        <v>35</v>
      </c>
      <c r="H13" s="278">
        <v>0</v>
      </c>
    </row>
    <row r="14" spans="1:8">
      <c r="A14" s="275" t="s">
        <v>36</v>
      </c>
      <c r="B14" s="299">
        <v>1221.6199999999999</v>
      </c>
      <c r="C14" s="300"/>
      <c r="D14" s="275" t="s">
        <v>37</v>
      </c>
      <c r="E14" s="280">
        <v>119.57</v>
      </c>
      <c r="F14" s="273"/>
      <c r="G14" s="275" t="s">
        <v>38</v>
      </c>
      <c r="H14" s="278">
        <v>0</v>
      </c>
    </row>
    <row r="15" spans="1:8">
      <c r="A15" s="275" t="s">
        <v>515</v>
      </c>
      <c r="B15" s="299">
        <v>1212</v>
      </c>
      <c r="C15" s="300"/>
      <c r="D15" s="275" t="s">
        <v>39</v>
      </c>
      <c r="E15" s="280">
        <v>41</v>
      </c>
      <c r="F15" s="273"/>
      <c r="G15" s="275" t="s">
        <v>40</v>
      </c>
      <c r="H15" s="278">
        <v>0</v>
      </c>
    </row>
    <row r="16" spans="1:8">
      <c r="A16" s="275" t="s">
        <v>41</v>
      </c>
      <c r="B16" s="299">
        <v>0</v>
      </c>
      <c r="C16" s="300"/>
      <c r="D16" s="376" t="s">
        <v>42</v>
      </c>
      <c r="E16" s="280">
        <v>27</v>
      </c>
      <c r="F16" s="273"/>
      <c r="G16" s="275" t="s">
        <v>43</v>
      </c>
      <c r="H16" s="278">
        <v>0</v>
      </c>
    </row>
    <row r="17" spans="1:8">
      <c r="A17" s="275" t="s">
        <v>44</v>
      </c>
      <c r="B17" s="299">
        <v>0</v>
      </c>
      <c r="C17" s="300"/>
      <c r="D17" s="289" t="s">
        <v>45</v>
      </c>
      <c r="E17" s="290">
        <v>46</v>
      </c>
      <c r="F17" s="273"/>
      <c r="G17" s="284" t="s">
        <v>46</v>
      </c>
      <c r="H17" s="379">
        <v>0</v>
      </c>
    </row>
    <row r="18" spans="1:8">
      <c r="A18" s="275" t="s">
        <v>47</v>
      </c>
      <c r="B18" s="299">
        <v>0</v>
      </c>
      <c r="C18" s="300"/>
      <c r="D18" s="376" t="s">
        <v>48</v>
      </c>
      <c r="E18" s="280">
        <v>0.47</v>
      </c>
      <c r="F18" s="273"/>
    </row>
    <row r="19" spans="1:8">
      <c r="A19" s="275" t="s">
        <v>49</v>
      </c>
      <c r="B19" s="299">
        <v>0</v>
      </c>
      <c r="C19" s="300"/>
      <c r="D19" s="376" t="s">
        <v>50</v>
      </c>
      <c r="E19" s="280">
        <v>35.9</v>
      </c>
      <c r="F19" s="273"/>
    </row>
    <row r="20" spans="1:8">
      <c r="A20" s="275" t="s">
        <v>51</v>
      </c>
      <c r="B20" s="299">
        <v>2654.53</v>
      </c>
      <c r="C20" s="300"/>
      <c r="D20" s="282" t="s">
        <v>52</v>
      </c>
      <c r="E20" s="274">
        <v>110</v>
      </c>
      <c r="F20" s="273"/>
    </row>
    <row r="21" spans="1:8">
      <c r="A21" s="275" t="s">
        <v>53</v>
      </c>
      <c r="B21" s="299">
        <v>1342.9</v>
      </c>
      <c r="C21" s="300"/>
      <c r="D21" s="291" t="s">
        <v>54</v>
      </c>
      <c r="E21" s="292">
        <v>26</v>
      </c>
      <c r="F21" s="286"/>
    </row>
    <row r="22" spans="1:8">
      <c r="A22" s="275" t="s">
        <v>55</v>
      </c>
      <c r="B22" s="299">
        <v>0</v>
      </c>
      <c r="C22" s="300"/>
    </row>
    <row r="23" spans="1:8">
      <c r="A23" s="275" t="s">
        <v>56</v>
      </c>
      <c r="B23" s="299">
        <v>2509.1</v>
      </c>
      <c r="C23" s="300"/>
      <c r="D23" s="293" t="s">
        <v>57</v>
      </c>
      <c r="E23" s="269"/>
      <c r="F23" s="270"/>
    </row>
    <row r="24" spans="1:8">
      <c r="A24" s="284" t="s">
        <v>58</v>
      </c>
      <c r="B24" s="375">
        <v>1212</v>
      </c>
      <c r="C24" s="286"/>
      <c r="D24" s="294" t="s">
        <v>59</v>
      </c>
      <c r="E24" s="274">
        <v>10</v>
      </c>
      <c r="F24" s="273"/>
    </row>
    <row r="25" spans="1:8">
      <c r="D25" s="295" t="s">
        <v>60</v>
      </c>
      <c r="E25" s="296">
        <v>11.9</v>
      </c>
      <c r="F25" s="273"/>
    </row>
    <row r="26" spans="1:8">
      <c r="A26" s="268" t="s">
        <v>61</v>
      </c>
      <c r="B26" s="297"/>
      <c r="C26" s="270"/>
      <c r="D26" s="295" t="s">
        <v>62</v>
      </c>
      <c r="E26" s="290">
        <v>33.9</v>
      </c>
      <c r="F26" s="273"/>
      <c r="G26" s="268" t="s">
        <v>63</v>
      </c>
      <c r="H26" s="298"/>
    </row>
    <row r="27" spans="1:8">
      <c r="A27" s="275" t="s">
        <v>64</v>
      </c>
      <c r="B27" s="299">
        <v>275</v>
      </c>
      <c r="C27" s="300"/>
      <c r="D27" s="295" t="s">
        <v>65</v>
      </c>
      <c r="E27" s="296">
        <v>13.54</v>
      </c>
      <c r="F27" s="273"/>
      <c r="G27" s="275" t="s">
        <v>66</v>
      </c>
      <c r="H27" s="301">
        <v>7.33</v>
      </c>
    </row>
    <row r="28" spans="1:8">
      <c r="A28" s="275" t="s">
        <v>67</v>
      </c>
      <c r="B28" s="299">
        <v>275</v>
      </c>
      <c r="C28" s="300"/>
      <c r="D28" s="295" t="s">
        <v>68</v>
      </c>
      <c r="E28" s="302">
        <v>30.99</v>
      </c>
      <c r="F28" s="273"/>
      <c r="G28" s="275" t="s">
        <v>69</v>
      </c>
      <c r="H28" s="301">
        <v>6.75</v>
      </c>
    </row>
    <row r="29" spans="1:8">
      <c r="A29" s="275" t="s">
        <v>70</v>
      </c>
      <c r="B29">
        <v>0.2</v>
      </c>
      <c r="C29" s="273"/>
      <c r="D29" s="295" t="s">
        <v>71</v>
      </c>
      <c r="E29" s="296">
        <v>30</v>
      </c>
      <c r="F29" s="273"/>
      <c r="G29" s="303" t="s">
        <v>72</v>
      </c>
      <c r="H29" s="280">
        <v>29</v>
      </c>
    </row>
    <row r="30" spans="1:8">
      <c r="A30" s="275" t="s">
        <v>73</v>
      </c>
      <c r="B30">
        <v>1.5</v>
      </c>
      <c r="C30" s="273"/>
      <c r="D30" s="295" t="s">
        <v>74</v>
      </c>
      <c r="E30" s="302">
        <v>20.94</v>
      </c>
      <c r="F30" s="273"/>
      <c r="G30" s="303" t="s">
        <v>75</v>
      </c>
      <c r="H30" s="280">
        <v>65</v>
      </c>
    </row>
    <row r="31" spans="1:8">
      <c r="A31" s="275" t="s">
        <v>76</v>
      </c>
      <c r="B31" s="304">
        <v>2</v>
      </c>
      <c r="C31" s="273"/>
      <c r="D31" s="295" t="s">
        <v>77</v>
      </c>
      <c r="E31" s="302">
        <v>12</v>
      </c>
      <c r="F31" s="273"/>
      <c r="G31" s="303" t="s">
        <v>78</v>
      </c>
      <c r="H31" s="280">
        <v>29.5</v>
      </c>
    </row>
    <row r="32" spans="1:8">
      <c r="A32" s="275" t="s">
        <v>79</v>
      </c>
      <c r="B32" s="299">
        <v>0</v>
      </c>
      <c r="C32" s="305"/>
      <c r="D32" s="295" t="s">
        <v>80</v>
      </c>
      <c r="E32" s="290">
        <v>15.53</v>
      </c>
      <c r="F32" s="273"/>
      <c r="G32" s="306" t="s">
        <v>81</v>
      </c>
      <c r="H32" s="307">
        <v>12</v>
      </c>
    </row>
    <row r="33" spans="1:11">
      <c r="A33" s="275" t="s">
        <v>82</v>
      </c>
      <c r="B33" s="308">
        <v>0.2</v>
      </c>
      <c r="C33" s="273"/>
      <c r="D33" s="295" t="s">
        <v>83</v>
      </c>
      <c r="E33" s="302">
        <v>7.69</v>
      </c>
      <c r="F33" s="273"/>
      <c r="G33" s="309"/>
      <c r="H33" s="310"/>
    </row>
    <row r="34" spans="1:11">
      <c r="A34" s="275" t="s">
        <v>84</v>
      </c>
      <c r="B34" s="308">
        <v>0.4</v>
      </c>
      <c r="C34" s="273"/>
      <c r="D34" s="295" t="s">
        <v>85</v>
      </c>
      <c r="E34" s="302">
        <v>10</v>
      </c>
      <c r="F34" s="273"/>
      <c r="G34" s="268" t="s">
        <v>86</v>
      </c>
      <c r="H34" s="311"/>
    </row>
    <row r="35" spans="1:11">
      <c r="A35" s="368" t="s">
        <v>520</v>
      </c>
      <c r="B35" s="312">
        <v>0.80840000000000001</v>
      </c>
      <c r="C35" s="273"/>
      <c r="D35" s="295" t="s">
        <v>87</v>
      </c>
      <c r="E35" s="313">
        <v>1.85</v>
      </c>
      <c r="F35" s="273"/>
      <c r="G35" s="303" t="s">
        <v>72</v>
      </c>
      <c r="H35" s="280">
        <v>23</v>
      </c>
    </row>
    <row r="36" spans="1:11">
      <c r="A36" s="284" t="s">
        <v>88</v>
      </c>
      <c r="B36" s="314">
        <v>0</v>
      </c>
      <c r="C36" s="286"/>
      <c r="D36" s="295" t="s">
        <v>89</v>
      </c>
      <c r="E36" s="302">
        <v>20</v>
      </c>
      <c r="F36" s="273"/>
      <c r="G36" s="303" t="s">
        <v>75</v>
      </c>
      <c r="H36" s="280">
        <v>15</v>
      </c>
    </row>
    <row r="37" spans="1:11">
      <c r="D37" s="315" t="s">
        <v>90</v>
      </c>
      <c r="E37" s="313">
        <v>1.6</v>
      </c>
      <c r="F37" s="273"/>
      <c r="G37" s="303" t="s">
        <v>78</v>
      </c>
      <c r="H37" s="280">
        <v>15</v>
      </c>
    </row>
    <row r="38" spans="1:11">
      <c r="A38" s="316" t="s">
        <v>91</v>
      </c>
      <c r="B38" s="269"/>
      <c r="C38" s="270"/>
      <c r="D38" s="295" t="s">
        <v>92</v>
      </c>
      <c r="E38" s="302">
        <v>5</v>
      </c>
      <c r="F38" s="273"/>
      <c r="G38" s="306" t="s">
        <v>81</v>
      </c>
      <c r="H38" s="307">
        <v>10</v>
      </c>
    </row>
    <row r="39" spans="1:11">
      <c r="A39" s="281" t="s">
        <v>93</v>
      </c>
      <c r="B39" s="278">
        <v>2</v>
      </c>
      <c r="C39" s="317"/>
      <c r="D39" s="295" t="s">
        <v>94</v>
      </c>
      <c r="E39" s="290">
        <v>1.5</v>
      </c>
      <c r="F39" s="273"/>
      <c r="G39" s="295"/>
      <c r="H39" s="295"/>
    </row>
    <row r="40" spans="1:11">
      <c r="A40" s="281" t="s">
        <v>95</v>
      </c>
      <c r="B40" s="279">
        <v>6.83</v>
      </c>
      <c r="C40" s="273"/>
      <c r="D40" s="318" t="s">
        <v>96</v>
      </c>
      <c r="E40" s="319">
        <v>10</v>
      </c>
      <c r="F40" s="286"/>
      <c r="G40" s="320"/>
      <c r="H40" s="321"/>
      <c r="I40" s="334"/>
      <c r="J40" s="331"/>
      <c r="K40" s="331"/>
    </row>
    <row r="41" spans="1:11">
      <c r="A41" s="281" t="s">
        <v>97</v>
      </c>
      <c r="B41">
        <f>ROUND(60/52.5,4)</f>
        <v>1.1429</v>
      </c>
      <c r="C41" s="273"/>
      <c r="D41" s="295"/>
      <c r="E41" s="322"/>
      <c r="G41" s="295"/>
      <c r="H41" s="310"/>
      <c r="I41" s="331"/>
    </row>
    <row r="42" spans="1:11">
      <c r="A42" s="281" t="s">
        <v>98</v>
      </c>
      <c r="B42" s="323">
        <f>B40*B41</f>
        <v>7.8060070000000001</v>
      </c>
      <c r="C42" s="273"/>
      <c r="D42" s="268" t="s">
        <v>99</v>
      </c>
      <c r="E42" s="324"/>
      <c r="F42" s="270"/>
      <c r="G42" s="295"/>
      <c r="H42" s="310"/>
    </row>
    <row r="43" spans="1:11">
      <c r="A43" s="281" t="s">
        <v>100</v>
      </c>
      <c r="B43" s="278">
        <f>B42+B39</f>
        <v>9.806007000000001</v>
      </c>
      <c r="C43" s="273"/>
      <c r="D43" s="275" t="s">
        <v>101</v>
      </c>
      <c r="E43" s="377">
        <v>170000</v>
      </c>
      <c r="F43" s="273"/>
      <c r="I43" s="335"/>
    </row>
    <row r="44" spans="1:11">
      <c r="A44" s="281" t="s">
        <v>102</v>
      </c>
      <c r="B44" s="325">
        <f>B43-B6</f>
        <v>1.806007000000001</v>
      </c>
      <c r="C44" s="273"/>
      <c r="D44" s="275" t="s">
        <v>103</v>
      </c>
      <c r="E44" s="377">
        <v>0</v>
      </c>
      <c r="F44" s="273"/>
      <c r="I44" s="295"/>
      <c r="J44" s="334"/>
    </row>
    <row r="45" spans="1:11">
      <c r="A45" s="326" t="s">
        <v>104</v>
      </c>
      <c r="B45" s="327">
        <v>0.5</v>
      </c>
      <c r="C45" s="327"/>
      <c r="D45" s="275" t="s">
        <v>105</v>
      </c>
      <c r="E45" s="377">
        <v>100000</v>
      </c>
      <c r="F45" s="273"/>
      <c r="I45" s="295"/>
      <c r="J45" s="334"/>
    </row>
    <row r="46" spans="1:11">
      <c r="D46" s="283" t="s">
        <v>530</v>
      </c>
      <c r="E46" s="377">
        <v>0</v>
      </c>
      <c r="F46" s="273"/>
      <c r="I46" s="295"/>
      <c r="J46" s="334"/>
    </row>
    <row r="47" spans="1:11">
      <c r="A47" s="268" t="s">
        <v>106</v>
      </c>
      <c r="B47" s="269"/>
      <c r="C47" s="270"/>
      <c r="D47" s="283" t="s">
        <v>530</v>
      </c>
      <c r="E47" s="377">
        <v>20000</v>
      </c>
      <c r="F47" s="273"/>
      <c r="I47" s="295"/>
      <c r="J47" s="334"/>
    </row>
    <row r="48" spans="1:11">
      <c r="A48" s="275" t="s">
        <v>107</v>
      </c>
      <c r="B48" s="328">
        <v>0.03</v>
      </c>
      <c r="C48" s="273"/>
      <c r="D48" s="283" t="s">
        <v>108</v>
      </c>
      <c r="E48" s="377">
        <v>0</v>
      </c>
      <c r="F48" s="273"/>
      <c r="I48" s="295"/>
      <c r="J48" s="334"/>
    </row>
    <row r="49" spans="1:10">
      <c r="A49" s="275" t="s">
        <v>109</v>
      </c>
      <c r="B49" s="328">
        <v>6.4999999999999997E-3</v>
      </c>
      <c r="C49" s="273"/>
      <c r="D49" s="275" t="s">
        <v>110</v>
      </c>
      <c r="E49" s="377">
        <f>E43*0.3</f>
        <v>51000</v>
      </c>
      <c r="F49" s="273"/>
      <c r="G49" s="268" t="s">
        <v>111</v>
      </c>
      <c r="H49" s="269"/>
      <c r="J49" s="334"/>
    </row>
    <row r="50" spans="1:10">
      <c r="A50" s="275" t="s">
        <v>112</v>
      </c>
      <c r="B50" s="328">
        <v>0.03</v>
      </c>
      <c r="C50" s="273"/>
      <c r="D50" s="275" t="s">
        <v>113</v>
      </c>
      <c r="E50" s="377">
        <v>0</v>
      </c>
      <c r="F50" s="273"/>
      <c r="G50" s="275" t="s">
        <v>114</v>
      </c>
      <c r="H50" s="299">
        <v>2116.9</v>
      </c>
      <c r="J50" s="334"/>
    </row>
    <row r="51" spans="1:10">
      <c r="A51" s="275" t="s">
        <v>115</v>
      </c>
      <c r="B51" s="328">
        <v>0.05</v>
      </c>
      <c r="C51" s="273"/>
      <c r="D51" s="275" t="s">
        <v>531</v>
      </c>
      <c r="E51" s="299">
        <f>E45+E47</f>
        <v>120000</v>
      </c>
      <c r="F51" s="273"/>
      <c r="G51" s="275" t="s">
        <v>116</v>
      </c>
      <c r="H51" s="299">
        <v>490</v>
      </c>
      <c r="J51" s="334"/>
    </row>
    <row r="52" spans="1:10">
      <c r="A52" s="275" t="s">
        <v>117</v>
      </c>
      <c r="B52" s="328">
        <v>3.4299999999999997E-2</v>
      </c>
      <c r="C52" s="273"/>
      <c r="D52" s="275" t="s">
        <v>118</v>
      </c>
      <c r="E52" s="377">
        <v>0</v>
      </c>
      <c r="F52" s="273"/>
      <c r="G52" s="275" t="s">
        <v>119</v>
      </c>
      <c r="H52" s="299">
        <v>120</v>
      </c>
      <c r="J52" s="334"/>
    </row>
    <row r="53" spans="1:10">
      <c r="A53" s="275" t="s">
        <v>120</v>
      </c>
      <c r="B53" s="328">
        <v>0.01</v>
      </c>
      <c r="C53" s="273"/>
      <c r="D53" s="283" t="s">
        <v>121</v>
      </c>
      <c r="E53" s="377">
        <v>0</v>
      </c>
      <c r="F53" s="273"/>
      <c r="G53" s="275" t="s">
        <v>122</v>
      </c>
      <c r="H53" s="299">
        <v>2745</v>
      </c>
      <c r="I53" s="309"/>
      <c r="J53" s="334"/>
    </row>
    <row r="54" spans="1:10">
      <c r="A54" s="275" t="s">
        <v>123</v>
      </c>
      <c r="B54" s="328">
        <v>3.0000000000000001E-3</v>
      </c>
      <c r="D54" s="275" t="s">
        <v>124</v>
      </c>
      <c r="E54" s="299">
        <f>E43+E49</f>
        <v>221000</v>
      </c>
      <c r="F54" s="273"/>
      <c r="G54" s="275" t="s">
        <v>125</v>
      </c>
      <c r="H54" s="299">
        <v>0</v>
      </c>
      <c r="J54" s="334"/>
    </row>
    <row r="55" spans="1:10">
      <c r="A55" s="275" t="s">
        <v>126</v>
      </c>
      <c r="B55" s="328">
        <v>9.5600000000000008E-3</v>
      </c>
      <c r="C55" s="273"/>
      <c r="D55" s="275" t="s">
        <v>127</v>
      </c>
      <c r="E55" s="377">
        <v>0</v>
      </c>
      <c r="G55" s="329" t="s">
        <v>128</v>
      </c>
      <c r="H55" s="299">
        <v>0</v>
      </c>
      <c r="I55" s="309"/>
      <c r="J55" s="334"/>
    </row>
    <row r="56" spans="1:10">
      <c r="A56" s="284" t="s">
        <v>129</v>
      </c>
      <c r="B56" s="330">
        <v>0.08</v>
      </c>
      <c r="C56" s="286"/>
      <c r="D56" s="275" t="s">
        <v>130</v>
      </c>
      <c r="E56" s="299">
        <f>64000</f>
        <v>64000</v>
      </c>
      <c r="G56" s="275" t="s">
        <v>131</v>
      </c>
      <c r="H56" s="299">
        <v>0</v>
      </c>
      <c r="I56" s="309"/>
      <c r="J56" s="334"/>
    </row>
    <row r="57" spans="1:10">
      <c r="D57" s="275" t="s">
        <v>132</v>
      </c>
      <c r="E57" s="377">
        <v>0</v>
      </c>
      <c r="G57" s="275" t="s">
        <v>133</v>
      </c>
      <c r="H57" s="299">
        <v>0</v>
      </c>
      <c r="I57" s="309"/>
      <c r="J57" s="334"/>
    </row>
    <row r="58" spans="1:10">
      <c r="A58" s="268" t="s">
        <v>134</v>
      </c>
      <c r="B58" s="269"/>
      <c r="C58" s="270"/>
      <c r="D58" s="275" t="s">
        <v>135</v>
      </c>
      <c r="E58" s="377">
        <v>0</v>
      </c>
      <c r="F58" s="273"/>
      <c r="I58" s="309"/>
      <c r="J58" s="334"/>
    </row>
    <row r="59" spans="1:10">
      <c r="A59" s="275" t="s">
        <v>136</v>
      </c>
      <c r="B59" s="331">
        <v>84.58</v>
      </c>
      <c r="C59" s="273"/>
      <c r="D59" s="275" t="s">
        <v>137</v>
      </c>
      <c r="E59" s="377">
        <v>0</v>
      </c>
      <c r="F59" s="273"/>
      <c r="G59" s="268" t="s">
        <v>138</v>
      </c>
      <c r="H59" s="269"/>
      <c r="I59" s="309"/>
      <c r="J59" s="334"/>
    </row>
    <row r="60" spans="1:10">
      <c r="A60" s="275" t="s">
        <v>139</v>
      </c>
      <c r="B60" s="332">
        <v>16.77</v>
      </c>
      <c r="C60" s="273"/>
      <c r="D60" s="275" t="s">
        <v>140</v>
      </c>
      <c r="E60" s="377">
        <v>0</v>
      </c>
      <c r="F60" s="273"/>
      <c r="G60" s="275" t="s">
        <v>141</v>
      </c>
      <c r="H60" s="299">
        <v>844</v>
      </c>
      <c r="I60" s="309"/>
      <c r="J60" s="334"/>
    </row>
    <row r="61" spans="1:10">
      <c r="A61" s="275" t="s">
        <v>142</v>
      </c>
      <c r="B61" s="328">
        <v>2.5000000000000001E-2</v>
      </c>
      <c r="C61" s="273"/>
      <c r="D61" s="275" t="s">
        <v>143</v>
      </c>
      <c r="E61" s="377">
        <v>0</v>
      </c>
      <c r="F61" s="273"/>
      <c r="G61" s="275" t="s">
        <v>144</v>
      </c>
      <c r="H61" s="299">
        <v>1044</v>
      </c>
      <c r="I61" s="309"/>
      <c r="J61" s="334"/>
    </row>
    <row r="62" spans="1:10">
      <c r="A62" s="275" t="s">
        <v>145</v>
      </c>
      <c r="B62" s="328">
        <v>2.5000000000000001E-2</v>
      </c>
      <c r="C62" s="273"/>
      <c r="D62" s="275" t="s">
        <v>146</v>
      </c>
      <c r="E62" s="377">
        <v>0</v>
      </c>
      <c r="F62" s="273"/>
      <c r="G62" s="275" t="s">
        <v>147</v>
      </c>
      <c r="H62" s="299">
        <v>170</v>
      </c>
      <c r="I62" s="309"/>
      <c r="J62" s="334"/>
    </row>
    <row r="63" spans="1:10">
      <c r="A63" s="275" t="s">
        <v>148</v>
      </c>
      <c r="B63" s="328">
        <v>0.01</v>
      </c>
      <c r="C63" s="273"/>
      <c r="D63" s="275" t="s">
        <v>149</v>
      </c>
      <c r="E63" s="377">
        <v>0</v>
      </c>
      <c r="F63" s="273"/>
      <c r="G63" s="275" t="s">
        <v>150</v>
      </c>
      <c r="H63" s="299">
        <v>844</v>
      </c>
      <c r="I63" s="309"/>
      <c r="J63" s="334"/>
    </row>
    <row r="64" spans="1:10">
      <c r="A64" s="275" t="s">
        <v>151</v>
      </c>
      <c r="B64" s="333">
        <v>60</v>
      </c>
      <c r="C64" s="273"/>
      <c r="D64" s="275" t="s">
        <v>152</v>
      </c>
      <c r="E64" s="377">
        <v>0</v>
      </c>
      <c r="F64" s="273"/>
      <c r="G64" s="275" t="s">
        <v>153</v>
      </c>
      <c r="H64" s="299">
        <v>80</v>
      </c>
      <c r="I64" s="309"/>
      <c r="J64" s="334"/>
    </row>
    <row r="65" spans="1:10">
      <c r="A65" s="275" t="s">
        <v>154</v>
      </c>
      <c r="B65" s="299">
        <v>151.88999999999999</v>
      </c>
      <c r="C65" s="336"/>
      <c r="D65" s="275" t="s">
        <v>488</v>
      </c>
      <c r="E65" s="377">
        <v>0</v>
      </c>
      <c r="F65" s="273"/>
      <c r="G65" s="275" t="s">
        <v>155</v>
      </c>
      <c r="H65" s="299">
        <v>750</v>
      </c>
      <c r="I65" s="309"/>
      <c r="J65" s="334"/>
    </row>
    <row r="66" spans="1:10">
      <c r="A66" s="275" t="s">
        <v>156</v>
      </c>
      <c r="B66" s="299">
        <v>22.78</v>
      </c>
      <c r="C66" s="336"/>
      <c r="D66" s="275" t="s">
        <v>157</v>
      </c>
      <c r="E66" s="377">
        <v>0</v>
      </c>
      <c r="F66" s="273"/>
      <c r="G66" s="275" t="s">
        <v>158</v>
      </c>
      <c r="H66" s="299">
        <v>80</v>
      </c>
      <c r="I66" s="309"/>
      <c r="J66" s="334"/>
    </row>
    <row r="67" spans="1:10">
      <c r="A67" s="275" t="s">
        <v>159</v>
      </c>
      <c r="B67" s="299">
        <v>151.88999999999999</v>
      </c>
      <c r="C67" s="336"/>
      <c r="D67" s="275" t="s">
        <v>160</v>
      </c>
      <c r="E67" s="377">
        <v>0</v>
      </c>
      <c r="F67" s="273"/>
      <c r="G67" s="284" t="s">
        <v>161</v>
      </c>
      <c r="H67" s="337">
        <v>60</v>
      </c>
      <c r="I67" s="309"/>
      <c r="J67" s="334"/>
    </row>
    <row r="68" spans="1:10">
      <c r="A68" s="275" t="s">
        <v>162</v>
      </c>
      <c r="B68" s="299">
        <v>22.78</v>
      </c>
      <c r="C68" s="336"/>
      <c r="D68" s="275" t="s">
        <v>163</v>
      </c>
      <c r="E68" s="377">
        <v>0</v>
      </c>
      <c r="F68" s="273"/>
      <c r="I68" s="309"/>
      <c r="J68" s="334"/>
    </row>
    <row r="69" spans="1:10">
      <c r="A69" s="284" t="s">
        <v>164</v>
      </c>
      <c r="B69" s="314">
        <v>25.08</v>
      </c>
      <c r="D69" s="284" t="s">
        <v>165</v>
      </c>
      <c r="E69" s="378">
        <v>0</v>
      </c>
      <c r="F69" s="286"/>
      <c r="I69" s="309"/>
      <c r="J69" s="334"/>
    </row>
    <row r="70" spans="1:10">
      <c r="I70" s="309"/>
      <c r="J70" s="334"/>
    </row>
  </sheetData>
  <mergeCells count="1">
    <mergeCell ref="A1:H1"/>
  </mergeCells>
  <pageMargins left="0.51180555555555596" right="0.51180555555555596" top="0.78680555555555598" bottom="0.78680555555555598" header="0.31388888888888899" footer="0.31388888888888899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379"/>
  <sheetViews>
    <sheetView view="pageBreakPreview" topLeftCell="D64" zoomScaleNormal="100" zoomScaleSheetLayoutView="100" workbookViewId="0">
      <selection activeCell="C23" sqref="C23"/>
    </sheetView>
  </sheetViews>
  <sheetFormatPr defaultColWidth="11.44140625" defaultRowHeight="11.4"/>
  <cols>
    <col min="1" max="1" width="11.44140625" style="52"/>
    <col min="2" max="2" width="11.44140625" style="1" customWidth="1"/>
    <col min="3" max="3" width="41.6640625" style="1" customWidth="1"/>
    <col min="4" max="4" width="20.6640625" style="1" customWidth="1"/>
    <col min="5" max="5" width="8.33203125" style="1" bestFit="1" customWidth="1"/>
    <col min="6" max="7" width="20.33203125" style="1" customWidth="1"/>
    <col min="8" max="8" width="17.88671875" style="1" customWidth="1"/>
    <col min="9" max="9" width="11.44140625" style="1" customWidth="1"/>
    <col min="10" max="10" width="12.6640625" style="52" customWidth="1"/>
    <col min="11" max="11" width="14.6640625" style="52" customWidth="1"/>
    <col min="12" max="16384" width="11.44140625" style="52"/>
  </cols>
  <sheetData>
    <row r="1" spans="1:9" ht="11.25" customHeight="1">
      <c r="A1" s="730" t="s">
        <v>178</v>
      </c>
      <c r="B1" s="730"/>
      <c r="C1" s="730"/>
      <c r="D1" s="730"/>
      <c r="E1" s="730"/>
      <c r="F1" s="730"/>
      <c r="G1" s="730"/>
      <c r="H1" s="730"/>
      <c r="I1" s="730"/>
    </row>
    <row r="2" spans="1:9" ht="11.25" customHeight="1">
      <c r="A2" s="730"/>
      <c r="B2" s="730"/>
      <c r="C2" s="730"/>
      <c r="D2" s="730"/>
      <c r="E2" s="730"/>
      <c r="F2" s="730"/>
      <c r="G2" s="730"/>
      <c r="H2" s="730"/>
      <c r="I2" s="730"/>
    </row>
    <row r="3" spans="1:9" ht="13.8">
      <c r="A3" s="758" t="s">
        <v>659</v>
      </c>
      <c r="B3" s="758"/>
      <c r="C3" s="758"/>
      <c r="D3" s="758"/>
      <c r="E3" s="758"/>
      <c r="F3" s="758"/>
      <c r="G3" s="758"/>
      <c r="H3" s="758"/>
      <c r="I3" s="758"/>
    </row>
    <row r="4" spans="1:9" ht="11.25" customHeight="1" thickBot="1">
      <c r="C4" s="3"/>
      <c r="H4" s="100"/>
    </row>
    <row r="5" spans="1:9" ht="13.5" customHeight="1">
      <c r="A5" s="704"/>
      <c r="B5" s="704"/>
      <c r="C5" s="703"/>
      <c r="D5" s="13"/>
      <c r="E5" s="101"/>
      <c r="F5" s="101"/>
      <c r="G5" s="101"/>
      <c r="H5" s="101"/>
      <c r="I5" s="14"/>
    </row>
    <row r="6" spans="1:9" ht="13.5" customHeight="1">
      <c r="A6" s="706" t="s">
        <v>662</v>
      </c>
      <c r="B6" s="706" t="s">
        <v>660</v>
      </c>
      <c r="C6" s="712" t="s">
        <v>661</v>
      </c>
      <c r="D6" s="712" t="s">
        <v>666</v>
      </c>
      <c r="E6" s="702" t="s">
        <v>668</v>
      </c>
      <c r="F6" s="715" t="s">
        <v>632</v>
      </c>
      <c r="G6" s="715" t="s">
        <v>670</v>
      </c>
      <c r="H6" s="104" t="s">
        <v>672</v>
      </c>
      <c r="I6" s="23"/>
    </row>
    <row r="7" spans="1:9" ht="70.2" customHeight="1">
      <c r="A7" s="707" t="s">
        <v>663</v>
      </c>
      <c r="B7" s="707">
        <v>104789</v>
      </c>
      <c r="C7" s="710" t="s">
        <v>633</v>
      </c>
      <c r="D7" s="711" t="s">
        <v>671</v>
      </c>
      <c r="E7" s="122" t="s">
        <v>669</v>
      </c>
      <c r="F7" s="123">
        <f>H8+H9</f>
        <v>170.30429999999998</v>
      </c>
      <c r="G7" s="713">
        <v>1</v>
      </c>
      <c r="H7" s="692">
        <f>G7*F7</f>
        <v>170.30429999999998</v>
      </c>
      <c r="I7" s="693"/>
    </row>
    <row r="8" spans="1:9" ht="33" customHeight="1">
      <c r="A8" s="707" t="s">
        <v>663</v>
      </c>
      <c r="B8" s="714">
        <v>88309</v>
      </c>
      <c r="C8" s="710" t="s">
        <v>664</v>
      </c>
      <c r="D8" s="711" t="s">
        <v>667</v>
      </c>
      <c r="E8" s="122" t="s">
        <v>669</v>
      </c>
      <c r="F8" s="123">
        <v>22.95</v>
      </c>
      <c r="G8" s="713">
        <v>1.2462</v>
      </c>
      <c r="H8" s="692">
        <f>G8*F8</f>
        <v>28.600289999999998</v>
      </c>
      <c r="I8" s="693"/>
    </row>
    <row r="9" spans="1:9" ht="37.5" customHeight="1">
      <c r="A9" s="707" t="s">
        <v>663</v>
      </c>
      <c r="B9" s="714">
        <v>88316</v>
      </c>
      <c r="C9" s="710" t="s">
        <v>665</v>
      </c>
      <c r="D9" s="711" t="s">
        <v>667</v>
      </c>
      <c r="E9" s="122" t="s">
        <v>669</v>
      </c>
      <c r="F9" s="123">
        <v>18.34</v>
      </c>
      <c r="G9" s="713">
        <v>7.7264999999999997</v>
      </c>
      <c r="H9" s="692">
        <f>G9*F9</f>
        <v>141.70400999999998</v>
      </c>
      <c r="I9" s="693"/>
    </row>
    <row r="10" spans="1:9">
      <c r="A10" s="797"/>
      <c r="B10" s="798"/>
      <c r="C10" s="798"/>
      <c r="D10" s="798"/>
      <c r="E10" s="798"/>
      <c r="F10" s="798"/>
      <c r="G10" s="798"/>
      <c r="H10" s="799"/>
      <c r="I10" s="693"/>
    </row>
    <row r="11" spans="1:9">
      <c r="A11" s="706" t="s">
        <v>662</v>
      </c>
      <c r="B11" s="706" t="s">
        <v>660</v>
      </c>
      <c r="C11" s="712" t="s">
        <v>661</v>
      </c>
      <c r="D11" s="712" t="s">
        <v>666</v>
      </c>
      <c r="E11" s="702" t="s">
        <v>668</v>
      </c>
      <c r="F11" s="715" t="s">
        <v>632</v>
      </c>
      <c r="G11" s="715" t="s">
        <v>670</v>
      </c>
      <c r="H11" s="104" t="s">
        <v>672</v>
      </c>
      <c r="I11" s="693"/>
    </row>
    <row r="12" spans="1:9" ht="82.5" customHeight="1">
      <c r="A12" s="120" t="s">
        <v>663</v>
      </c>
      <c r="B12" s="714">
        <v>90108</v>
      </c>
      <c r="C12" s="716" t="s">
        <v>634</v>
      </c>
      <c r="D12" s="709" t="s">
        <v>678</v>
      </c>
      <c r="E12" s="122" t="s">
        <v>679</v>
      </c>
      <c r="F12" s="123">
        <f>H13+H14+H15</f>
        <v>5.82</v>
      </c>
      <c r="G12" s="123">
        <v>1</v>
      </c>
      <c r="H12" s="692">
        <f>G12*F12</f>
        <v>5.82</v>
      </c>
      <c r="I12" s="23"/>
    </row>
    <row r="13" spans="1:9" ht="88.5" customHeight="1">
      <c r="A13" s="707" t="s">
        <v>663</v>
      </c>
      <c r="B13" s="714">
        <v>5679</v>
      </c>
      <c r="C13" s="710" t="s">
        <v>673</v>
      </c>
      <c r="D13" s="711" t="s">
        <v>674</v>
      </c>
      <c r="E13" s="122" t="s">
        <v>675</v>
      </c>
      <c r="F13" s="123">
        <v>51.47</v>
      </c>
      <c r="G13" s="713">
        <v>2.9899999999999999E-2</v>
      </c>
      <c r="H13" s="692">
        <f>TRUNC(G13*F13,2)</f>
        <v>1.53</v>
      </c>
      <c r="I13" s="23"/>
    </row>
    <row r="14" spans="1:9" ht="78" customHeight="1">
      <c r="A14" s="707" t="s">
        <v>663</v>
      </c>
      <c r="B14" s="714">
        <v>5678</v>
      </c>
      <c r="C14" s="710" t="s">
        <v>676</v>
      </c>
      <c r="D14" s="711" t="s">
        <v>674</v>
      </c>
      <c r="E14" s="122" t="s">
        <v>677</v>
      </c>
      <c r="F14" s="123">
        <v>132.72</v>
      </c>
      <c r="G14" s="713">
        <v>2.4799999999999999E-2</v>
      </c>
      <c r="H14" s="692">
        <f t="shared" ref="H14:H15" si="0">TRUNC(G14*F14,2)</f>
        <v>3.29</v>
      </c>
      <c r="I14" s="23"/>
    </row>
    <row r="15" spans="1:9" ht="34.5" customHeight="1">
      <c r="A15" s="707" t="s">
        <v>663</v>
      </c>
      <c r="B15" s="714">
        <v>88316</v>
      </c>
      <c r="C15" s="710" t="s">
        <v>665</v>
      </c>
      <c r="D15" s="711" t="s">
        <v>667</v>
      </c>
      <c r="E15" s="122" t="s">
        <v>669</v>
      </c>
      <c r="F15" s="123">
        <v>18.34</v>
      </c>
      <c r="G15" s="713">
        <v>5.4699999999999999E-2</v>
      </c>
      <c r="H15" s="692">
        <f t="shared" si="0"/>
        <v>1</v>
      </c>
      <c r="I15" s="23"/>
    </row>
    <row r="16" spans="1:9">
      <c r="A16" s="803"/>
      <c r="B16" s="804"/>
      <c r="C16" s="804"/>
      <c r="D16" s="804"/>
      <c r="E16" s="804"/>
      <c r="F16" s="804"/>
      <c r="G16" s="804"/>
      <c r="H16" s="805"/>
      <c r="I16" s="23"/>
    </row>
    <row r="17" spans="1:9">
      <c r="A17" s="706" t="s">
        <v>662</v>
      </c>
      <c r="B17" s="706" t="s">
        <v>660</v>
      </c>
      <c r="C17" s="712" t="s">
        <v>661</v>
      </c>
      <c r="D17" s="712" t="s">
        <v>666</v>
      </c>
      <c r="E17" s="702" t="s">
        <v>668</v>
      </c>
      <c r="F17" s="715" t="s">
        <v>632</v>
      </c>
      <c r="G17" s="715" t="s">
        <v>670</v>
      </c>
      <c r="H17" s="104" t="s">
        <v>672</v>
      </c>
      <c r="I17" s="23"/>
    </row>
    <row r="18" spans="1:9" ht="60.6" customHeight="1">
      <c r="A18" s="120" t="s">
        <v>663</v>
      </c>
      <c r="B18" s="713">
        <v>100939</v>
      </c>
      <c r="C18" s="716" t="s">
        <v>635</v>
      </c>
      <c r="D18" s="711" t="s">
        <v>683</v>
      </c>
      <c r="E18" s="122" t="s">
        <v>682</v>
      </c>
      <c r="F18" s="123">
        <f>H19+H20</f>
        <v>6.61</v>
      </c>
      <c r="G18" s="123">
        <v>1</v>
      </c>
      <c r="H18" s="717">
        <f>(G18*F18)</f>
        <v>6.61</v>
      </c>
      <c r="I18" s="124"/>
    </row>
    <row r="19" spans="1:9" ht="60.6" customHeight="1">
      <c r="A19" s="714" t="s">
        <v>663</v>
      </c>
      <c r="B19" s="714">
        <v>89877</v>
      </c>
      <c r="C19" s="710" t="s">
        <v>680</v>
      </c>
      <c r="D19" s="711" t="s">
        <v>674</v>
      </c>
      <c r="E19" s="122" t="s">
        <v>675</v>
      </c>
      <c r="F19" s="123">
        <v>86.66</v>
      </c>
      <c r="G19" s="713">
        <v>7.7000000000000002E-3</v>
      </c>
      <c r="H19" s="692">
        <f t="shared" ref="H19:H20" si="1">TRUNC(G19*F19,2)</f>
        <v>0.66</v>
      </c>
      <c r="I19" s="124"/>
    </row>
    <row r="20" spans="1:9" ht="60.6" customHeight="1">
      <c r="A20" s="707" t="s">
        <v>663</v>
      </c>
      <c r="B20" s="714">
        <v>89876</v>
      </c>
      <c r="C20" s="710" t="s">
        <v>681</v>
      </c>
      <c r="D20" s="711" t="s">
        <v>674</v>
      </c>
      <c r="E20" s="122" t="s">
        <v>677</v>
      </c>
      <c r="F20" s="123">
        <v>332.6</v>
      </c>
      <c r="G20" s="713">
        <v>1.7899999999999999E-2</v>
      </c>
      <c r="H20" s="692">
        <f t="shared" si="1"/>
        <v>5.95</v>
      </c>
      <c r="I20" s="124"/>
    </row>
    <row r="21" spans="1:9">
      <c r="A21" s="806"/>
      <c r="B21" s="807"/>
      <c r="C21" s="807"/>
      <c r="D21" s="807"/>
      <c r="E21" s="807"/>
      <c r="F21" s="807"/>
      <c r="G21" s="807"/>
      <c r="H21" s="808"/>
      <c r="I21" s="124"/>
    </row>
    <row r="22" spans="1:9">
      <c r="A22" s="706" t="s">
        <v>662</v>
      </c>
      <c r="B22" s="706" t="s">
        <v>660</v>
      </c>
      <c r="C22" s="712" t="s">
        <v>661</v>
      </c>
      <c r="D22" s="712" t="s">
        <v>666</v>
      </c>
      <c r="E22" s="702" t="s">
        <v>668</v>
      </c>
      <c r="F22" s="104" t="s">
        <v>632</v>
      </c>
      <c r="G22" s="715" t="s">
        <v>670</v>
      </c>
      <c r="H22" s="104" t="s">
        <v>672</v>
      </c>
      <c r="I22" s="124"/>
    </row>
    <row r="23" spans="1:9" ht="34.5" customHeight="1">
      <c r="A23" s="705" t="s">
        <v>663</v>
      </c>
      <c r="B23" s="705" t="s">
        <v>684</v>
      </c>
      <c r="C23" s="709" t="s">
        <v>685</v>
      </c>
      <c r="D23" s="711" t="s">
        <v>686</v>
      </c>
      <c r="E23" s="718" t="s">
        <v>679</v>
      </c>
      <c r="F23" s="719">
        <f>SUM(H24:H29)</f>
        <v>425.32000000000005</v>
      </c>
      <c r="G23" s="233">
        <v>1</v>
      </c>
      <c r="H23" s="720">
        <f>G23*F23</f>
        <v>425.32000000000005</v>
      </c>
      <c r="I23" s="124"/>
    </row>
    <row r="24" spans="1:9" ht="22.8">
      <c r="A24" s="714" t="s">
        <v>663</v>
      </c>
      <c r="B24" s="714">
        <v>88245</v>
      </c>
      <c r="C24" s="710" t="s">
        <v>689</v>
      </c>
      <c r="D24" s="711" t="s">
        <v>667</v>
      </c>
      <c r="E24" s="122" t="s">
        <v>669</v>
      </c>
      <c r="F24" s="123">
        <v>14.55</v>
      </c>
      <c r="G24" s="713">
        <v>0.6</v>
      </c>
      <c r="H24" s="692">
        <f t="shared" ref="H24:H29" si="2">TRUNC(G24*F24,2)</f>
        <v>8.73</v>
      </c>
      <c r="I24" s="124"/>
    </row>
    <row r="25" spans="1:9" ht="22.8">
      <c r="A25" s="707" t="s">
        <v>663</v>
      </c>
      <c r="B25" s="714">
        <v>88262</v>
      </c>
      <c r="C25" s="710" t="s">
        <v>690</v>
      </c>
      <c r="D25" s="711" t="s">
        <v>667</v>
      </c>
      <c r="E25" s="122" t="s">
        <v>669</v>
      </c>
      <c r="F25" s="123">
        <v>14.55</v>
      </c>
      <c r="G25" s="713">
        <v>0.6</v>
      </c>
      <c r="H25" s="692">
        <f t="shared" si="2"/>
        <v>8.73</v>
      </c>
      <c r="I25" s="124"/>
    </row>
    <row r="26" spans="1:9" ht="22.8">
      <c r="A26" s="714" t="s">
        <v>663</v>
      </c>
      <c r="B26" s="714">
        <v>88309</v>
      </c>
      <c r="C26" s="710" t="s">
        <v>664</v>
      </c>
      <c r="D26" s="711" t="s">
        <v>667</v>
      </c>
      <c r="E26" s="122" t="s">
        <v>669</v>
      </c>
      <c r="F26" s="123">
        <v>14.55</v>
      </c>
      <c r="G26" s="713">
        <v>0.6</v>
      </c>
      <c r="H26" s="692">
        <f t="shared" si="2"/>
        <v>8.73</v>
      </c>
      <c r="I26" s="124"/>
    </row>
    <row r="27" spans="1:9" ht="22.8">
      <c r="A27" s="707" t="s">
        <v>663</v>
      </c>
      <c r="B27" s="714">
        <v>88316</v>
      </c>
      <c r="C27" s="710" t="s">
        <v>691</v>
      </c>
      <c r="D27" s="711" t="s">
        <v>667</v>
      </c>
      <c r="E27" s="122" t="s">
        <v>669</v>
      </c>
      <c r="F27" s="123">
        <v>11.68</v>
      </c>
      <c r="G27" s="713">
        <v>1.6</v>
      </c>
      <c r="H27" s="692">
        <f t="shared" si="2"/>
        <v>18.68</v>
      </c>
      <c r="I27" s="124"/>
    </row>
    <row r="28" spans="1:9" ht="50.25" customHeight="1">
      <c r="A28" s="714" t="s">
        <v>663</v>
      </c>
      <c r="B28" s="714" t="s">
        <v>687</v>
      </c>
      <c r="C28" s="710" t="s">
        <v>692</v>
      </c>
      <c r="D28" s="711" t="s">
        <v>694</v>
      </c>
      <c r="E28" s="122" t="s">
        <v>679</v>
      </c>
      <c r="F28" s="123">
        <v>362.13</v>
      </c>
      <c r="G28" s="713">
        <v>1.05</v>
      </c>
      <c r="H28" s="692">
        <f t="shared" si="2"/>
        <v>380.23</v>
      </c>
      <c r="I28" s="124"/>
    </row>
    <row r="29" spans="1:9" ht="46.5" customHeight="1">
      <c r="A29" s="714" t="s">
        <v>663</v>
      </c>
      <c r="B29" s="714" t="s">
        <v>688</v>
      </c>
      <c r="C29" s="710" t="s">
        <v>693</v>
      </c>
      <c r="D29" s="711" t="s">
        <v>695</v>
      </c>
      <c r="E29" s="120" t="s">
        <v>669</v>
      </c>
      <c r="F29" s="233">
        <v>0.74</v>
      </c>
      <c r="G29" s="714">
        <v>0.3</v>
      </c>
      <c r="H29" s="692">
        <f t="shared" si="2"/>
        <v>0.22</v>
      </c>
      <c r="I29" s="124"/>
    </row>
    <row r="30" spans="1:9">
      <c r="A30" s="722"/>
      <c r="B30" s="723"/>
      <c r="C30" s="716"/>
      <c r="D30" s="708"/>
      <c r="E30" s="721"/>
      <c r="F30" s="724"/>
      <c r="G30" s="723"/>
      <c r="H30" s="725"/>
      <c r="I30" s="124"/>
    </row>
    <row r="31" spans="1:9" ht="13.5" customHeight="1">
      <c r="A31" s="706" t="s">
        <v>662</v>
      </c>
      <c r="B31" s="706" t="s">
        <v>660</v>
      </c>
      <c r="C31" s="712" t="s">
        <v>661</v>
      </c>
      <c r="D31" s="712" t="s">
        <v>666</v>
      </c>
      <c r="E31" s="702" t="s">
        <v>668</v>
      </c>
      <c r="F31" s="104" t="s">
        <v>632</v>
      </c>
      <c r="G31" s="715" t="s">
        <v>670</v>
      </c>
      <c r="H31" s="104" t="s">
        <v>672</v>
      </c>
      <c r="I31" s="124"/>
    </row>
    <row r="32" spans="1:9" ht="62.25" customHeight="1">
      <c r="A32" s="120" t="s">
        <v>663</v>
      </c>
      <c r="B32" s="714">
        <v>103328</v>
      </c>
      <c r="C32" s="710" t="s">
        <v>637</v>
      </c>
      <c r="D32" s="711" t="s">
        <v>696</v>
      </c>
      <c r="E32" s="122" t="s">
        <v>697</v>
      </c>
      <c r="F32" s="123">
        <f>SUM(H33:H38)</f>
        <v>87.169999999999987</v>
      </c>
      <c r="G32" s="123">
        <v>1</v>
      </c>
      <c r="H32" s="692">
        <f>(G32*F32)</f>
        <v>87.169999999999987</v>
      </c>
      <c r="I32" s="124"/>
    </row>
    <row r="33" spans="1:9" ht="60" customHeight="1">
      <c r="A33" s="714" t="s">
        <v>663</v>
      </c>
      <c r="B33" s="714">
        <v>87292</v>
      </c>
      <c r="C33" s="710" t="s">
        <v>698</v>
      </c>
      <c r="D33" s="711" t="s">
        <v>667</v>
      </c>
      <c r="E33" s="122" t="s">
        <v>679</v>
      </c>
      <c r="F33" s="123">
        <v>570.76</v>
      </c>
      <c r="G33" s="713">
        <v>9.1000000000000004E-3</v>
      </c>
      <c r="H33" s="692">
        <f t="shared" ref="H33:H37" si="3">TRUNC(G33*F33,2)</f>
        <v>5.19</v>
      </c>
      <c r="I33" s="124"/>
    </row>
    <row r="34" spans="1:9" ht="22.8">
      <c r="A34" s="707" t="s">
        <v>663</v>
      </c>
      <c r="B34" s="714">
        <v>88309</v>
      </c>
      <c r="C34" s="710" t="s">
        <v>664</v>
      </c>
      <c r="D34" s="711" t="s">
        <v>667</v>
      </c>
      <c r="E34" s="122" t="s">
        <v>669</v>
      </c>
      <c r="F34" s="123">
        <v>22.95</v>
      </c>
      <c r="G34" s="713">
        <v>1.61</v>
      </c>
      <c r="H34" s="692">
        <f t="shared" si="3"/>
        <v>36.94</v>
      </c>
      <c r="I34" s="124"/>
    </row>
    <row r="35" spans="1:9" ht="22.8">
      <c r="A35" s="714" t="s">
        <v>663</v>
      </c>
      <c r="B35" s="714">
        <v>88316</v>
      </c>
      <c r="C35" s="710" t="s">
        <v>665</v>
      </c>
      <c r="D35" s="711" t="s">
        <v>667</v>
      </c>
      <c r="E35" s="122" t="s">
        <v>669</v>
      </c>
      <c r="F35" s="123">
        <v>18.34</v>
      </c>
      <c r="G35" s="713">
        <v>0.80500000000000005</v>
      </c>
      <c r="H35" s="692">
        <f t="shared" si="3"/>
        <v>14.76</v>
      </c>
      <c r="I35" s="124"/>
    </row>
    <row r="36" spans="1:9" ht="52.2" customHeight="1">
      <c r="A36" s="707" t="s">
        <v>663</v>
      </c>
      <c r="B36" s="714" t="s">
        <v>705</v>
      </c>
      <c r="C36" s="710" t="s">
        <v>699</v>
      </c>
      <c r="D36" s="711" t="s">
        <v>694</v>
      </c>
      <c r="E36" s="122" t="s">
        <v>702</v>
      </c>
      <c r="F36" s="123">
        <v>1.02</v>
      </c>
      <c r="G36" s="713">
        <v>28.31</v>
      </c>
      <c r="H36" s="692">
        <f t="shared" si="3"/>
        <v>28.87</v>
      </c>
      <c r="I36" s="124"/>
    </row>
    <row r="37" spans="1:9" ht="52.2" customHeight="1">
      <c r="A37" s="714" t="s">
        <v>663</v>
      </c>
      <c r="B37" s="714" t="s">
        <v>706</v>
      </c>
      <c r="C37" s="710" t="s">
        <v>700</v>
      </c>
      <c r="D37" s="711" t="s">
        <v>694</v>
      </c>
      <c r="E37" s="122" t="s">
        <v>703</v>
      </c>
      <c r="F37" s="123">
        <v>43.65</v>
      </c>
      <c r="G37" s="713">
        <v>5.0000000000000001E-3</v>
      </c>
      <c r="H37" s="692">
        <f t="shared" si="3"/>
        <v>0.21</v>
      </c>
      <c r="I37" s="124"/>
    </row>
    <row r="38" spans="1:9" ht="52.2" customHeight="1">
      <c r="A38" s="714" t="s">
        <v>663</v>
      </c>
      <c r="B38" s="714" t="s">
        <v>707</v>
      </c>
      <c r="C38" s="710" t="s">
        <v>701</v>
      </c>
      <c r="D38" s="711" t="s">
        <v>694</v>
      </c>
      <c r="E38" s="122" t="s">
        <v>704</v>
      </c>
      <c r="F38" s="123">
        <v>2.88</v>
      </c>
      <c r="G38" s="713">
        <v>0.42</v>
      </c>
      <c r="H38" s="692">
        <f t="shared" ref="H38" si="4">TRUNC(G38*F38,2)</f>
        <v>1.2</v>
      </c>
      <c r="I38" s="124"/>
    </row>
    <row r="39" spans="1:9">
      <c r="A39" s="809"/>
      <c r="B39" s="810"/>
      <c r="C39" s="810"/>
      <c r="D39" s="810"/>
      <c r="E39" s="810"/>
      <c r="F39" s="810"/>
      <c r="G39" s="810"/>
      <c r="H39" s="811"/>
      <c r="I39" s="124"/>
    </row>
    <row r="40" spans="1:9">
      <c r="A40" s="706" t="s">
        <v>662</v>
      </c>
      <c r="B40" s="706" t="s">
        <v>660</v>
      </c>
      <c r="C40" s="712" t="s">
        <v>661</v>
      </c>
      <c r="D40" s="712" t="s">
        <v>666</v>
      </c>
      <c r="E40" s="702" t="s">
        <v>668</v>
      </c>
      <c r="F40" s="104" t="s">
        <v>632</v>
      </c>
      <c r="G40" s="715" t="s">
        <v>670</v>
      </c>
      <c r="H40" s="104" t="s">
        <v>672</v>
      </c>
      <c r="I40" s="124"/>
    </row>
    <row r="41" spans="1:9" ht="63.6" customHeight="1">
      <c r="A41" s="120" t="s">
        <v>663</v>
      </c>
      <c r="B41" s="714">
        <v>87879</v>
      </c>
      <c r="C41" s="709" t="s">
        <v>638</v>
      </c>
      <c r="D41" s="711" t="s">
        <v>708</v>
      </c>
      <c r="E41" s="122" t="s">
        <v>697</v>
      </c>
      <c r="F41" s="123">
        <f>SUM(H42:H44)</f>
        <v>4.07</v>
      </c>
      <c r="G41" s="123">
        <v>1</v>
      </c>
      <c r="H41" s="692">
        <f>(G41*F41)</f>
        <v>4.07</v>
      </c>
      <c r="I41" s="124"/>
    </row>
    <row r="42" spans="1:9" ht="63.6" customHeight="1">
      <c r="A42" s="714" t="s">
        <v>663</v>
      </c>
      <c r="B42" s="714">
        <v>87313</v>
      </c>
      <c r="C42" s="710" t="s">
        <v>709</v>
      </c>
      <c r="D42" s="711" t="s">
        <v>667</v>
      </c>
      <c r="E42" s="122" t="s">
        <v>679</v>
      </c>
      <c r="F42" s="123">
        <v>556.29999999999995</v>
      </c>
      <c r="G42" s="713">
        <v>3.7000000000000002E-3</v>
      </c>
      <c r="H42" s="692">
        <f t="shared" ref="H42:H44" si="5">TRUNC(G42*F42,2)</f>
        <v>2.0499999999999998</v>
      </c>
      <c r="I42" s="124"/>
    </row>
    <row r="43" spans="1:9" ht="22.8">
      <c r="A43" s="707" t="s">
        <v>663</v>
      </c>
      <c r="B43" s="714">
        <v>88309</v>
      </c>
      <c r="C43" s="710" t="s">
        <v>664</v>
      </c>
      <c r="D43" s="711" t="s">
        <v>667</v>
      </c>
      <c r="E43" s="122" t="s">
        <v>669</v>
      </c>
      <c r="F43" s="123">
        <v>22.95</v>
      </c>
      <c r="G43" s="713">
        <v>6.8099999999999994E-2</v>
      </c>
      <c r="H43" s="692">
        <f t="shared" si="5"/>
        <v>1.56</v>
      </c>
      <c r="I43" s="124"/>
    </row>
    <row r="44" spans="1:9" ht="22.8">
      <c r="A44" s="714" t="s">
        <v>663</v>
      </c>
      <c r="B44" s="714">
        <v>88316</v>
      </c>
      <c r="C44" s="710" t="s">
        <v>665</v>
      </c>
      <c r="D44" s="711" t="s">
        <v>667</v>
      </c>
      <c r="E44" s="122" t="s">
        <v>669</v>
      </c>
      <c r="F44" s="123">
        <v>18.34</v>
      </c>
      <c r="G44" s="713">
        <v>2.5499999999999998E-2</v>
      </c>
      <c r="H44" s="692">
        <f t="shared" si="5"/>
        <v>0.46</v>
      </c>
      <c r="I44" s="124"/>
    </row>
    <row r="45" spans="1:9">
      <c r="A45" s="809"/>
      <c r="B45" s="810"/>
      <c r="C45" s="810"/>
      <c r="D45" s="810"/>
      <c r="E45" s="810"/>
      <c r="F45" s="810"/>
      <c r="G45" s="810"/>
      <c r="H45" s="811"/>
      <c r="I45" s="124"/>
    </row>
    <row r="46" spans="1:9">
      <c r="A46" s="706" t="s">
        <v>662</v>
      </c>
      <c r="B46" s="706" t="s">
        <v>660</v>
      </c>
      <c r="C46" s="712" t="s">
        <v>661</v>
      </c>
      <c r="D46" s="712" t="s">
        <v>666</v>
      </c>
      <c r="E46" s="702" t="s">
        <v>668</v>
      </c>
      <c r="F46" s="104" t="s">
        <v>632</v>
      </c>
      <c r="G46" s="715" t="s">
        <v>670</v>
      </c>
      <c r="H46" s="104" t="s">
        <v>672</v>
      </c>
      <c r="I46" s="124"/>
    </row>
    <row r="47" spans="1:9" ht="78" customHeight="1">
      <c r="A47" s="120" t="s">
        <v>663</v>
      </c>
      <c r="B47" s="714">
        <v>87529</v>
      </c>
      <c r="C47" s="710" t="s">
        <v>639</v>
      </c>
      <c r="D47" s="711" t="s">
        <v>708</v>
      </c>
      <c r="E47" s="122" t="s">
        <v>697</v>
      </c>
      <c r="F47" s="123">
        <f>SUM(H48:H50)</f>
        <v>32.520000000000003</v>
      </c>
      <c r="G47" s="123">
        <v>1</v>
      </c>
      <c r="H47" s="692">
        <f>(G47*F47)</f>
        <v>32.520000000000003</v>
      </c>
      <c r="I47" s="124"/>
    </row>
    <row r="48" spans="1:9" ht="57">
      <c r="A48" s="714" t="s">
        <v>663</v>
      </c>
      <c r="B48" s="714">
        <v>87292</v>
      </c>
      <c r="C48" s="710" t="s">
        <v>698</v>
      </c>
      <c r="D48" s="711" t="s">
        <v>667</v>
      </c>
      <c r="E48" s="122" t="s">
        <v>679</v>
      </c>
      <c r="F48" s="123">
        <v>570.76</v>
      </c>
      <c r="G48" s="713">
        <v>3.04E-2</v>
      </c>
      <c r="H48" s="692">
        <f t="shared" ref="H48:H50" si="6">TRUNC(G48*F48,2)</f>
        <v>17.350000000000001</v>
      </c>
      <c r="I48" s="124"/>
    </row>
    <row r="49" spans="1:9" ht="27" customHeight="1">
      <c r="A49" s="707" t="s">
        <v>663</v>
      </c>
      <c r="B49" s="714">
        <v>88309</v>
      </c>
      <c r="C49" s="710" t="s">
        <v>664</v>
      </c>
      <c r="D49" s="711" t="s">
        <v>667</v>
      </c>
      <c r="E49" s="122" t="s">
        <v>669</v>
      </c>
      <c r="F49" s="123">
        <v>22.95</v>
      </c>
      <c r="G49" s="713">
        <v>0.47239999999999999</v>
      </c>
      <c r="H49" s="692">
        <f t="shared" si="6"/>
        <v>10.84</v>
      </c>
      <c r="I49" s="124"/>
    </row>
    <row r="50" spans="1:9" ht="27" customHeight="1">
      <c r="A50" s="714" t="s">
        <v>663</v>
      </c>
      <c r="B50" s="714">
        <v>88316</v>
      </c>
      <c r="C50" s="710" t="s">
        <v>665</v>
      </c>
      <c r="D50" s="711" t="s">
        <v>667</v>
      </c>
      <c r="E50" s="122" t="s">
        <v>669</v>
      </c>
      <c r="F50" s="123">
        <v>18.34</v>
      </c>
      <c r="G50" s="713">
        <v>0.23619999999999999</v>
      </c>
      <c r="H50" s="692">
        <f t="shared" si="6"/>
        <v>4.33</v>
      </c>
      <c r="I50" s="124"/>
    </row>
    <row r="51" spans="1:9">
      <c r="A51" s="812"/>
      <c r="B51" s="813"/>
      <c r="C51" s="813"/>
      <c r="D51" s="813"/>
      <c r="E51" s="813"/>
      <c r="F51" s="813"/>
      <c r="G51" s="813"/>
      <c r="H51" s="814"/>
      <c r="I51" s="124"/>
    </row>
    <row r="52" spans="1:9">
      <c r="A52" s="706" t="s">
        <v>662</v>
      </c>
      <c r="B52" s="706" t="s">
        <v>660</v>
      </c>
      <c r="C52" s="712" t="s">
        <v>661</v>
      </c>
      <c r="D52" s="712" t="s">
        <v>666</v>
      </c>
      <c r="E52" s="702" t="s">
        <v>668</v>
      </c>
      <c r="F52" s="104" t="s">
        <v>632</v>
      </c>
      <c r="G52" s="715" t="s">
        <v>670</v>
      </c>
      <c r="H52" s="104" t="s">
        <v>672</v>
      </c>
      <c r="I52" s="124"/>
    </row>
    <row r="53" spans="1:9" ht="57">
      <c r="A53" s="714" t="s">
        <v>663</v>
      </c>
      <c r="B53" s="714">
        <v>94304</v>
      </c>
      <c r="C53" s="716" t="s">
        <v>640</v>
      </c>
      <c r="D53" s="711" t="s">
        <v>678</v>
      </c>
      <c r="E53" s="122" t="s">
        <v>679</v>
      </c>
      <c r="F53" s="123">
        <f>SUM(H54:H60)</f>
        <v>72.38</v>
      </c>
      <c r="G53" s="713">
        <v>1</v>
      </c>
      <c r="H53" s="692">
        <f>G53*F53</f>
        <v>72.38</v>
      </c>
      <c r="I53" s="124"/>
    </row>
    <row r="54" spans="1:9" ht="57">
      <c r="A54" s="714" t="s">
        <v>663</v>
      </c>
      <c r="B54" s="714">
        <v>5903</v>
      </c>
      <c r="C54" s="710" t="s">
        <v>711</v>
      </c>
      <c r="D54" s="711" t="s">
        <v>674</v>
      </c>
      <c r="E54" s="122" t="s">
        <v>679</v>
      </c>
      <c r="F54" s="123">
        <v>71.86</v>
      </c>
      <c r="G54" s="713">
        <v>5.9999999999999995E-4</v>
      </c>
      <c r="H54" s="692">
        <f t="shared" ref="H54:H59" si="7">TRUNC(G54*F54,2)</f>
        <v>0.04</v>
      </c>
      <c r="I54" s="124"/>
    </row>
    <row r="55" spans="1:9" ht="57">
      <c r="A55" s="707" t="s">
        <v>663</v>
      </c>
      <c r="B55" s="714">
        <v>5901</v>
      </c>
      <c r="C55" s="710" t="s">
        <v>712</v>
      </c>
      <c r="D55" s="711" t="s">
        <v>674</v>
      </c>
      <c r="E55" s="122" t="s">
        <v>669</v>
      </c>
      <c r="F55" s="123">
        <v>318.36</v>
      </c>
      <c r="G55" s="713">
        <v>5.4000000000000003E-3</v>
      </c>
      <c r="H55" s="692">
        <f t="shared" si="7"/>
        <v>1.71</v>
      </c>
      <c r="I55" s="124"/>
    </row>
    <row r="56" spans="1:9" ht="34.200000000000003">
      <c r="A56" s="714" t="s">
        <v>663</v>
      </c>
      <c r="B56" s="714">
        <v>91533</v>
      </c>
      <c r="C56" s="710" t="s">
        <v>713</v>
      </c>
      <c r="D56" s="711" t="s">
        <v>674</v>
      </c>
      <c r="E56" s="122" t="s">
        <v>669</v>
      </c>
      <c r="F56" s="123">
        <v>27.67</v>
      </c>
      <c r="G56" s="713">
        <v>0.13389999999999999</v>
      </c>
      <c r="H56" s="692">
        <f t="shared" si="7"/>
        <v>3.7</v>
      </c>
      <c r="I56" s="124"/>
    </row>
    <row r="57" spans="1:9" ht="45.6">
      <c r="A57" s="714" t="s">
        <v>663</v>
      </c>
      <c r="B57" s="714">
        <v>5632</v>
      </c>
      <c r="C57" s="710" t="s">
        <v>714</v>
      </c>
      <c r="D57" s="711" t="s">
        <v>674</v>
      </c>
      <c r="E57" s="122" t="s">
        <v>679</v>
      </c>
      <c r="F57" s="123">
        <v>78.91</v>
      </c>
      <c r="G57" s="713">
        <v>6.4100000000000004E-2</v>
      </c>
      <c r="H57" s="692">
        <f t="shared" si="7"/>
        <v>5.05</v>
      </c>
      <c r="I57" s="124"/>
    </row>
    <row r="58" spans="1:9" ht="51" customHeight="1">
      <c r="A58" s="707" t="s">
        <v>663</v>
      </c>
      <c r="B58" s="714">
        <v>5631</v>
      </c>
      <c r="C58" s="710" t="s">
        <v>715</v>
      </c>
      <c r="D58" s="711" t="s">
        <v>674</v>
      </c>
      <c r="E58" s="122" t="s">
        <v>669</v>
      </c>
      <c r="F58" s="123">
        <v>200.87</v>
      </c>
      <c r="G58" s="713">
        <v>4.4400000000000002E-2</v>
      </c>
      <c r="H58" s="692">
        <f t="shared" si="7"/>
        <v>8.91</v>
      </c>
      <c r="I58" s="124"/>
    </row>
    <row r="59" spans="1:9" ht="26.25" customHeight="1">
      <c r="A59" s="714" t="s">
        <v>663</v>
      </c>
      <c r="B59" s="714">
        <v>88316</v>
      </c>
      <c r="C59" s="710" t="s">
        <v>665</v>
      </c>
      <c r="D59" s="711" t="s">
        <v>667</v>
      </c>
      <c r="E59" s="122" t="s">
        <v>669</v>
      </c>
      <c r="F59" s="123">
        <v>18.34</v>
      </c>
      <c r="G59" s="713">
        <v>6.0499999999999998E-2</v>
      </c>
      <c r="H59" s="692">
        <f t="shared" si="7"/>
        <v>1.1000000000000001</v>
      </c>
      <c r="I59" s="229"/>
    </row>
    <row r="60" spans="1:9" ht="39" customHeight="1">
      <c r="A60" s="714" t="s">
        <v>663</v>
      </c>
      <c r="B60" s="714" t="s">
        <v>710</v>
      </c>
      <c r="C60" s="710" t="s">
        <v>716</v>
      </c>
      <c r="D60" s="711" t="s">
        <v>694</v>
      </c>
      <c r="E60" s="120" t="s">
        <v>669</v>
      </c>
      <c r="F60" s="233">
        <v>37.35</v>
      </c>
      <c r="G60" s="714">
        <v>1.3889</v>
      </c>
      <c r="H60" s="692">
        <f t="shared" ref="H60" si="8">TRUNC(G60*F60,2)</f>
        <v>51.87</v>
      </c>
      <c r="I60" s="229"/>
    </row>
    <row r="61" spans="1:9" ht="12.75" customHeight="1">
      <c r="A61" s="800"/>
      <c r="B61" s="801"/>
      <c r="C61" s="801"/>
      <c r="D61" s="801"/>
      <c r="E61" s="801"/>
      <c r="F61" s="801"/>
      <c r="G61" s="801"/>
      <c r="H61" s="801"/>
      <c r="I61" s="802"/>
    </row>
    <row r="62" spans="1:9" ht="13.5" customHeight="1">
      <c r="B62" s="3"/>
      <c r="C62" s="3"/>
      <c r="F62" s="100"/>
      <c r="G62" s="100"/>
      <c r="H62" s="2"/>
    </row>
    <row r="63" spans="1:9" ht="13.5" customHeight="1">
      <c r="B63" s="211"/>
      <c r="C63" s="211"/>
      <c r="D63" s="211"/>
      <c r="E63" s="216"/>
      <c r="F63" s="115"/>
      <c r="G63" s="115"/>
      <c r="H63" s="217"/>
      <c r="I63" s="218"/>
    </row>
    <row r="64" spans="1:9" ht="13.5" customHeight="1">
      <c r="B64" s="211"/>
      <c r="C64" s="211"/>
      <c r="D64" s="211"/>
      <c r="E64" s="216"/>
      <c r="F64" s="115"/>
      <c r="G64" s="115"/>
      <c r="H64" s="217"/>
      <c r="I64" s="218"/>
    </row>
    <row r="65" spans="2:14" ht="13.5" customHeight="1">
      <c r="B65" s="211"/>
      <c r="C65" s="211"/>
      <c r="D65" s="211"/>
      <c r="E65" s="216"/>
      <c r="F65" s="115"/>
      <c r="G65" s="115"/>
      <c r="H65" s="217"/>
      <c r="I65" s="218"/>
    </row>
    <row r="66" spans="2:14" ht="13.5" customHeight="1">
      <c r="B66" s="211"/>
      <c r="C66" s="211"/>
      <c r="D66" s="211"/>
      <c r="E66" s="216"/>
      <c r="F66" s="115"/>
      <c r="G66" s="115"/>
      <c r="H66" s="217"/>
      <c r="I66" s="218"/>
    </row>
    <row r="67" spans="2:14" ht="13.5" customHeight="1">
      <c r="B67" s="211"/>
      <c r="C67" s="211"/>
      <c r="D67" s="211"/>
      <c r="E67" s="216"/>
      <c r="F67" s="115"/>
      <c r="G67" s="115"/>
      <c r="H67" s="217"/>
      <c r="I67" s="218"/>
    </row>
    <row r="68" spans="2:14" ht="13.5" customHeight="1">
      <c r="B68" s="211"/>
      <c r="C68" s="211"/>
      <c r="D68" s="211"/>
      <c r="E68" s="216"/>
      <c r="F68" s="115"/>
      <c r="G68" s="115"/>
      <c r="H68" s="217"/>
      <c r="I68" s="218"/>
    </row>
    <row r="69" spans="2:14">
      <c r="B69" s="211"/>
      <c r="C69" s="211"/>
      <c r="D69" s="211"/>
      <c r="E69" s="216"/>
      <c r="F69" s="115"/>
      <c r="G69" s="115"/>
      <c r="H69" s="217"/>
      <c r="I69" s="218"/>
    </row>
    <row r="70" spans="2:14">
      <c r="B70" s="211"/>
      <c r="C70" s="211"/>
      <c r="D70" s="211"/>
      <c r="E70" s="216"/>
      <c r="F70" s="115"/>
      <c r="G70" s="115"/>
      <c r="H70" s="217"/>
      <c r="I70" s="218"/>
    </row>
    <row r="71" spans="2:14" ht="12.75" customHeight="1">
      <c r="B71" s="211"/>
      <c r="C71" s="211"/>
      <c r="D71" s="211"/>
      <c r="E71" s="216"/>
      <c r="F71" s="115"/>
      <c r="G71" s="115"/>
      <c r="H71" s="217"/>
      <c r="I71" s="218"/>
    </row>
    <row r="72" spans="2:14">
      <c r="B72" s="211"/>
      <c r="C72" s="211"/>
      <c r="D72" s="211"/>
      <c r="E72" s="216"/>
      <c r="F72" s="115"/>
      <c r="G72" s="115"/>
      <c r="H72" s="217"/>
      <c r="I72" s="218"/>
    </row>
    <row r="73" spans="2:14">
      <c r="B73" s="211"/>
      <c r="C73" s="211"/>
      <c r="D73" s="211"/>
      <c r="E73" s="216"/>
      <c r="F73" s="115"/>
      <c r="G73" s="115"/>
      <c r="H73" s="217"/>
      <c r="I73" s="218"/>
    </row>
    <row r="74" spans="2:14">
      <c r="B74" s="211"/>
      <c r="C74" s="211"/>
      <c r="D74" s="211"/>
      <c r="E74" s="216"/>
      <c r="F74" s="115"/>
      <c r="G74" s="115"/>
      <c r="H74" s="217"/>
      <c r="I74" s="218"/>
      <c r="L74" s="144"/>
      <c r="M74" s="145"/>
      <c r="N74" s="77"/>
    </row>
    <row r="75" spans="2:14">
      <c r="B75" s="211"/>
      <c r="C75" s="211"/>
      <c r="D75" s="211"/>
      <c r="E75" s="216"/>
      <c r="F75" s="115"/>
      <c r="G75" s="115"/>
      <c r="H75" s="217"/>
      <c r="I75" s="218"/>
      <c r="L75" s="144"/>
      <c r="M75" s="145"/>
      <c r="N75" s="77"/>
    </row>
    <row r="76" spans="2:14">
      <c r="B76" s="211"/>
      <c r="C76" s="211"/>
      <c r="D76" s="211"/>
      <c r="E76" s="216"/>
      <c r="F76" s="115"/>
      <c r="G76" s="115"/>
      <c r="H76" s="217"/>
      <c r="I76" s="218"/>
      <c r="L76" s="144"/>
      <c r="M76" s="145"/>
      <c r="N76" s="77"/>
    </row>
    <row r="77" spans="2:14">
      <c r="B77" s="211"/>
      <c r="C77" s="211"/>
      <c r="D77" s="211"/>
      <c r="E77" s="216"/>
      <c r="F77" s="115"/>
      <c r="G77" s="115"/>
      <c r="H77" s="217"/>
      <c r="I77" s="218"/>
      <c r="L77" s="144"/>
      <c r="M77" s="145"/>
      <c r="N77" s="77"/>
    </row>
    <row r="78" spans="2:14">
      <c r="B78" s="211"/>
      <c r="C78" s="211"/>
      <c r="D78" s="211"/>
      <c r="E78" s="216"/>
      <c r="F78" s="115"/>
      <c r="G78" s="115"/>
      <c r="H78" s="217"/>
      <c r="I78" s="218"/>
      <c r="L78" s="144"/>
      <c r="M78" s="145"/>
      <c r="N78" s="77"/>
    </row>
    <row r="79" spans="2:14">
      <c r="B79" s="211"/>
      <c r="C79" s="211"/>
      <c r="D79" s="211"/>
      <c r="E79" s="216"/>
      <c r="F79" s="115"/>
      <c r="G79" s="115"/>
      <c r="H79" s="217"/>
      <c r="I79" s="218"/>
      <c r="L79" s="144"/>
      <c r="M79" s="145"/>
      <c r="N79" s="77"/>
    </row>
    <row r="80" spans="2:14">
      <c r="B80" s="211"/>
      <c r="C80" s="211"/>
      <c r="D80" s="211"/>
      <c r="E80" s="216"/>
      <c r="F80" s="115"/>
      <c r="G80" s="115"/>
      <c r="H80" s="217"/>
      <c r="I80" s="218"/>
      <c r="L80" s="144"/>
      <c r="M80" s="145"/>
      <c r="N80" s="77"/>
    </row>
    <row r="81" spans="2:14">
      <c r="B81" s="211"/>
      <c r="C81" s="211"/>
      <c r="D81" s="211"/>
      <c r="E81" s="216"/>
      <c r="F81" s="115"/>
      <c r="G81" s="115"/>
      <c r="H81" s="217"/>
      <c r="I81" s="218"/>
      <c r="L81" s="144"/>
      <c r="M81" s="145"/>
      <c r="N81" s="77"/>
    </row>
    <row r="82" spans="2:14">
      <c r="B82" s="211"/>
      <c r="C82" s="211"/>
      <c r="D82" s="211"/>
      <c r="E82" s="216"/>
      <c r="F82" s="115"/>
      <c r="G82" s="115"/>
      <c r="H82" s="217"/>
      <c r="I82" s="218"/>
      <c r="L82" s="144"/>
      <c r="M82" s="145"/>
      <c r="N82" s="77"/>
    </row>
    <row r="83" spans="2:14">
      <c r="B83" s="211"/>
      <c r="C83" s="211"/>
      <c r="D83" s="211"/>
      <c r="E83" s="216"/>
      <c r="F83" s="115"/>
      <c r="G83" s="115"/>
      <c r="H83" s="217"/>
      <c r="I83" s="218"/>
      <c r="L83" s="144"/>
      <c r="M83" s="145"/>
      <c r="N83" s="77"/>
    </row>
    <row r="84" spans="2:14">
      <c r="B84" s="211"/>
      <c r="C84" s="211"/>
      <c r="D84" s="211"/>
      <c r="E84" s="216"/>
      <c r="F84" s="115"/>
      <c r="G84" s="115"/>
      <c r="H84" s="217"/>
      <c r="I84" s="218"/>
    </row>
    <row r="85" spans="2:14">
      <c r="B85" s="211"/>
      <c r="C85" s="211"/>
      <c r="D85" s="211"/>
      <c r="E85" s="216"/>
      <c r="F85" s="115"/>
      <c r="G85" s="115"/>
      <c r="H85" s="217"/>
      <c r="I85" s="218"/>
    </row>
    <row r="86" spans="2:14">
      <c r="B86" s="211"/>
      <c r="C86" s="211"/>
      <c r="D86" s="211"/>
      <c r="E86" s="216"/>
      <c r="F86" s="115"/>
      <c r="G86" s="115"/>
      <c r="H86" s="217"/>
      <c r="I86" s="218"/>
    </row>
    <row r="87" spans="2:14">
      <c r="B87" s="211"/>
      <c r="C87" s="211"/>
      <c r="D87" s="211"/>
      <c r="E87" s="216"/>
      <c r="F87" s="115"/>
      <c r="G87" s="115"/>
      <c r="H87" s="217"/>
      <c r="I87" s="218"/>
    </row>
    <row r="88" spans="2:14">
      <c r="B88" s="211"/>
      <c r="C88" s="211"/>
      <c r="D88" s="211"/>
      <c r="E88" s="216"/>
      <c r="F88" s="115"/>
      <c r="G88" s="115"/>
      <c r="H88" s="217"/>
      <c r="I88" s="218"/>
    </row>
    <row r="89" spans="2:14">
      <c r="B89" s="211"/>
      <c r="C89" s="211"/>
      <c r="D89" s="211"/>
      <c r="E89" s="216"/>
      <c r="F89" s="115"/>
      <c r="G89" s="115"/>
      <c r="H89" s="217"/>
      <c r="I89" s="218"/>
    </row>
    <row r="90" spans="2:14">
      <c r="B90" s="211"/>
      <c r="C90" s="211"/>
      <c r="D90" s="211"/>
      <c r="E90" s="216"/>
      <c r="F90" s="115"/>
      <c r="G90" s="115"/>
      <c r="H90" s="217"/>
      <c r="I90" s="218"/>
    </row>
    <row r="91" spans="2:14">
      <c r="B91" s="211"/>
      <c r="C91" s="211"/>
      <c r="D91" s="211"/>
      <c r="E91" s="216"/>
      <c r="F91" s="115"/>
      <c r="G91" s="115"/>
      <c r="H91" s="217"/>
      <c r="I91" s="218"/>
    </row>
    <row r="92" spans="2:14" ht="13.5" customHeight="1">
      <c r="B92" s="211"/>
      <c r="C92" s="211"/>
      <c r="D92" s="211"/>
      <c r="E92" s="216"/>
      <c r="F92" s="115"/>
      <c r="G92" s="115"/>
      <c r="H92" s="217"/>
      <c r="I92" s="218"/>
    </row>
    <row r="93" spans="2:14">
      <c r="B93" s="211"/>
      <c r="C93" s="211"/>
      <c r="D93" s="211"/>
      <c r="E93" s="216"/>
      <c r="F93" s="115"/>
      <c r="G93" s="115"/>
      <c r="H93" s="217"/>
      <c r="I93" s="218"/>
    </row>
    <row r="94" spans="2:14">
      <c r="B94" s="211"/>
      <c r="C94" s="211"/>
      <c r="D94" s="211"/>
      <c r="E94" s="216"/>
      <c r="F94" s="115"/>
      <c r="G94" s="115"/>
      <c r="H94" s="217"/>
      <c r="I94" s="218"/>
    </row>
    <row r="95" spans="2:14">
      <c r="B95" s="211"/>
      <c r="C95" s="211"/>
      <c r="D95" s="211"/>
      <c r="E95" s="216"/>
      <c r="F95" s="115"/>
      <c r="G95" s="115"/>
      <c r="H95" s="217"/>
      <c r="I95" s="218"/>
    </row>
    <row r="96" spans="2:14">
      <c r="B96" s="211"/>
      <c r="C96" s="211"/>
      <c r="D96" s="211"/>
      <c r="E96" s="216"/>
      <c r="F96" s="115"/>
      <c r="G96" s="115"/>
      <c r="H96" s="217"/>
      <c r="I96" s="218"/>
    </row>
    <row r="97" spans="2:9">
      <c r="B97" s="211"/>
      <c r="C97" s="211"/>
      <c r="D97" s="211"/>
      <c r="E97" s="216"/>
      <c r="F97" s="115"/>
      <c r="G97" s="115"/>
      <c r="H97" s="217"/>
      <c r="I97" s="218"/>
    </row>
    <row r="98" spans="2:9">
      <c r="B98" s="211"/>
      <c r="C98" s="211"/>
      <c r="D98" s="211"/>
      <c r="E98" s="216"/>
      <c r="F98" s="115"/>
      <c r="G98" s="115"/>
      <c r="H98" s="217"/>
      <c r="I98" s="218"/>
    </row>
    <row r="99" spans="2:9">
      <c r="B99" s="211"/>
      <c r="C99" s="211"/>
      <c r="D99" s="211"/>
      <c r="E99" s="216"/>
      <c r="F99" s="115"/>
      <c r="G99" s="115"/>
      <c r="H99" s="217"/>
      <c r="I99" s="218"/>
    </row>
    <row r="100" spans="2:9" ht="10.95" customHeight="1">
      <c r="B100" s="211"/>
      <c r="C100" s="211"/>
      <c r="D100" s="211"/>
      <c r="E100" s="216"/>
      <c r="F100" s="115"/>
      <c r="G100" s="115"/>
      <c r="H100" s="217"/>
      <c r="I100" s="218"/>
    </row>
    <row r="101" spans="2:9">
      <c r="B101" s="211"/>
      <c r="C101" s="211"/>
      <c r="D101" s="211"/>
      <c r="E101" s="216"/>
      <c r="F101" s="115"/>
      <c r="G101" s="115"/>
      <c r="H101" s="217"/>
      <c r="I101" s="218"/>
    </row>
    <row r="102" spans="2:9" hidden="1">
      <c r="B102" s="211"/>
      <c r="C102" s="211"/>
      <c r="D102" s="211"/>
      <c r="E102" s="216"/>
      <c r="F102" s="115"/>
      <c r="G102" s="115"/>
      <c r="H102" s="217"/>
      <c r="I102" s="218"/>
    </row>
    <row r="103" spans="2:9" hidden="1">
      <c r="B103" s="211"/>
      <c r="C103" s="211"/>
      <c r="D103" s="211"/>
      <c r="E103" s="216"/>
      <c r="F103" s="115"/>
      <c r="G103" s="115"/>
      <c r="H103" s="217"/>
      <c r="I103" s="218"/>
    </row>
    <row r="104" spans="2:9" hidden="1">
      <c r="B104" s="211"/>
      <c r="C104" s="211"/>
      <c r="D104" s="211"/>
      <c r="E104" s="216"/>
      <c r="F104" s="115"/>
      <c r="G104" s="115"/>
      <c r="H104" s="217"/>
      <c r="I104" s="218"/>
    </row>
    <row r="105" spans="2:9" hidden="1">
      <c r="B105" s="211"/>
      <c r="C105" s="211"/>
      <c r="D105" s="211"/>
      <c r="E105" s="216"/>
      <c r="F105" s="115"/>
      <c r="G105" s="115"/>
      <c r="H105" s="217"/>
      <c r="I105" s="218"/>
    </row>
    <row r="106" spans="2:9" hidden="1">
      <c r="B106" s="211"/>
      <c r="C106" s="211"/>
      <c r="D106" s="211"/>
      <c r="E106" s="216"/>
      <c r="F106" s="115"/>
      <c r="G106" s="115"/>
      <c r="H106" s="217"/>
      <c r="I106" s="218"/>
    </row>
    <row r="107" spans="2:9" hidden="1">
      <c r="B107" s="211"/>
      <c r="C107" s="211"/>
      <c r="D107" s="211"/>
      <c r="E107" s="216"/>
      <c r="F107" s="115"/>
      <c r="G107" s="115"/>
      <c r="H107" s="217"/>
      <c r="I107" s="218"/>
    </row>
    <row r="108" spans="2:9" hidden="1">
      <c r="B108" s="211"/>
      <c r="C108" s="211"/>
      <c r="D108" s="211"/>
      <c r="E108" s="216"/>
      <c r="F108" s="115"/>
      <c r="G108" s="115"/>
      <c r="H108" s="217"/>
      <c r="I108" s="218"/>
    </row>
    <row r="109" spans="2:9" hidden="1">
      <c r="B109" s="211"/>
      <c r="C109" s="211"/>
      <c r="D109" s="211"/>
      <c r="E109" s="216"/>
      <c r="F109" s="115"/>
      <c r="G109" s="115"/>
      <c r="H109" s="217"/>
      <c r="I109" s="218"/>
    </row>
    <row r="110" spans="2:9" hidden="1">
      <c r="B110" s="211"/>
      <c r="C110" s="211"/>
      <c r="D110" s="211"/>
      <c r="E110" s="216"/>
      <c r="F110" s="115"/>
      <c r="G110" s="115"/>
      <c r="H110" s="217"/>
      <c r="I110" s="218"/>
    </row>
    <row r="111" spans="2:9" hidden="1">
      <c r="B111" s="211"/>
      <c r="C111" s="211"/>
      <c r="D111" s="211"/>
      <c r="E111" s="216"/>
      <c r="F111" s="115"/>
      <c r="G111" s="115"/>
      <c r="H111" s="217"/>
      <c r="I111" s="218"/>
    </row>
    <row r="112" spans="2:9" hidden="1">
      <c r="B112" s="211"/>
      <c r="C112" s="211"/>
      <c r="D112" s="211"/>
      <c r="E112" s="216"/>
      <c r="F112" s="115"/>
      <c r="G112" s="115"/>
      <c r="H112" s="217"/>
      <c r="I112" s="218"/>
    </row>
    <row r="113" spans="2:9" hidden="1">
      <c r="B113" s="211"/>
      <c r="C113" s="211"/>
      <c r="D113" s="211"/>
      <c r="E113" s="216"/>
      <c r="F113" s="115"/>
      <c r="G113" s="115"/>
      <c r="H113" s="217"/>
      <c r="I113" s="218"/>
    </row>
    <row r="114" spans="2:9" hidden="1">
      <c r="B114" s="211"/>
      <c r="C114" s="211"/>
      <c r="D114" s="211"/>
      <c r="E114" s="216"/>
      <c r="F114" s="115"/>
      <c r="G114" s="115"/>
      <c r="H114" s="217"/>
      <c r="I114" s="218"/>
    </row>
    <row r="115" spans="2:9" hidden="1">
      <c r="B115" s="211"/>
      <c r="C115" s="211"/>
      <c r="D115" s="211"/>
      <c r="E115" s="216"/>
      <c r="F115" s="115"/>
      <c r="G115" s="115"/>
      <c r="H115" s="217"/>
      <c r="I115" s="218"/>
    </row>
    <row r="116" spans="2:9">
      <c r="B116" s="211"/>
      <c r="C116" s="211"/>
      <c r="D116" s="211"/>
      <c r="E116" s="216"/>
      <c r="F116" s="115"/>
      <c r="G116" s="115"/>
      <c r="H116" s="217"/>
      <c r="I116" s="218"/>
    </row>
    <row r="117" spans="2:9">
      <c r="B117" s="211"/>
      <c r="C117" s="211"/>
      <c r="D117" s="211"/>
      <c r="E117" s="216"/>
      <c r="F117" s="115"/>
      <c r="G117" s="115"/>
      <c r="H117" s="217"/>
      <c r="I117" s="218"/>
    </row>
    <row r="118" spans="2:9">
      <c r="B118" s="211"/>
      <c r="C118" s="211"/>
      <c r="D118" s="211"/>
      <c r="E118" s="216"/>
      <c r="F118" s="115"/>
      <c r="G118" s="115"/>
      <c r="H118" s="217"/>
      <c r="I118" s="218"/>
    </row>
    <row r="119" spans="2:9">
      <c r="B119" s="211"/>
      <c r="C119" s="211"/>
      <c r="D119" s="211"/>
      <c r="E119" s="216"/>
      <c r="F119" s="115"/>
      <c r="G119" s="115"/>
      <c r="H119" s="217"/>
      <c r="I119" s="218"/>
    </row>
    <row r="120" spans="2:9">
      <c r="B120" s="211"/>
      <c r="C120" s="211"/>
      <c r="D120" s="211"/>
      <c r="E120" s="216"/>
      <c r="F120" s="115"/>
      <c r="G120" s="115"/>
      <c r="H120" s="217"/>
      <c r="I120" s="218"/>
    </row>
    <row r="121" spans="2:9">
      <c r="B121" s="211"/>
      <c r="C121" s="211"/>
      <c r="D121" s="211"/>
      <c r="E121" s="216"/>
      <c r="F121" s="115"/>
      <c r="G121" s="115"/>
      <c r="H121" s="217"/>
      <c r="I121" s="218"/>
    </row>
    <row r="122" spans="2:9">
      <c r="B122" s="211"/>
      <c r="C122" s="211"/>
      <c r="D122" s="211"/>
      <c r="E122" s="216"/>
      <c r="F122" s="115"/>
      <c r="G122" s="115"/>
      <c r="H122" s="217"/>
      <c r="I122" s="218"/>
    </row>
    <row r="123" spans="2:9">
      <c r="B123" s="211"/>
      <c r="C123" s="211"/>
      <c r="D123" s="211"/>
      <c r="E123" s="216"/>
      <c r="F123" s="115"/>
      <c r="G123" s="115"/>
      <c r="H123" s="217"/>
      <c r="I123" s="218"/>
    </row>
    <row r="124" spans="2:9">
      <c r="B124" s="211"/>
      <c r="C124" s="211"/>
      <c r="D124" s="211"/>
      <c r="E124" s="216"/>
      <c r="F124" s="115"/>
      <c r="G124" s="115"/>
      <c r="H124" s="217"/>
      <c r="I124" s="218"/>
    </row>
    <row r="125" spans="2:9">
      <c r="B125" s="211"/>
      <c r="C125" s="211"/>
      <c r="D125" s="211"/>
      <c r="E125" s="216"/>
      <c r="F125" s="115"/>
      <c r="G125" s="115"/>
      <c r="H125" s="217"/>
      <c r="I125" s="218"/>
    </row>
    <row r="126" spans="2:9">
      <c r="B126" s="211"/>
      <c r="C126" s="211"/>
      <c r="D126" s="211"/>
      <c r="E126" s="216"/>
      <c r="F126" s="115"/>
      <c r="G126" s="115"/>
      <c r="H126" s="217"/>
      <c r="I126" s="218"/>
    </row>
    <row r="127" spans="2:9">
      <c r="B127" s="211"/>
      <c r="C127" s="211"/>
      <c r="D127" s="211"/>
      <c r="E127" s="216"/>
      <c r="F127" s="115"/>
      <c r="G127" s="115"/>
      <c r="H127" s="217"/>
      <c r="I127" s="218"/>
    </row>
    <row r="128" spans="2:9">
      <c r="B128" s="211"/>
      <c r="C128" s="211"/>
      <c r="D128" s="211"/>
      <c r="E128" s="216"/>
      <c r="F128" s="115"/>
      <c r="G128" s="115"/>
      <c r="H128" s="217"/>
      <c r="I128" s="218"/>
    </row>
    <row r="129" spans="2:9">
      <c r="B129" s="211"/>
      <c r="C129" s="211"/>
      <c r="D129" s="211"/>
      <c r="E129" s="216"/>
      <c r="F129" s="115"/>
      <c r="G129" s="115"/>
      <c r="H129" s="217"/>
      <c r="I129" s="218"/>
    </row>
    <row r="130" spans="2:9">
      <c r="B130" s="211"/>
      <c r="C130" s="211"/>
      <c r="D130" s="211"/>
      <c r="E130" s="216"/>
      <c r="F130" s="115"/>
      <c r="G130" s="115"/>
      <c r="H130" s="217"/>
      <c r="I130" s="218"/>
    </row>
    <row r="131" spans="2:9">
      <c r="B131" s="211"/>
      <c r="C131" s="211"/>
      <c r="D131" s="211"/>
      <c r="E131" s="216"/>
      <c r="F131" s="115"/>
      <c r="G131" s="115"/>
      <c r="H131" s="217"/>
      <c r="I131" s="218"/>
    </row>
    <row r="132" spans="2:9" hidden="1">
      <c r="B132" s="211"/>
      <c r="C132" s="211"/>
      <c r="D132" s="211"/>
      <c r="E132" s="216"/>
      <c r="F132" s="115"/>
      <c r="G132" s="115"/>
      <c r="H132" s="217"/>
      <c r="I132" s="218"/>
    </row>
    <row r="133" spans="2:9" hidden="1">
      <c r="B133" s="211"/>
      <c r="C133" s="211"/>
      <c r="D133" s="211"/>
      <c r="E133" s="216"/>
      <c r="F133" s="115"/>
      <c r="G133" s="115"/>
      <c r="H133" s="217"/>
      <c r="I133" s="218"/>
    </row>
    <row r="134" spans="2:9" hidden="1">
      <c r="B134" s="211"/>
      <c r="C134" s="211"/>
      <c r="D134" s="211"/>
      <c r="E134" s="216"/>
      <c r="F134" s="115"/>
      <c r="G134" s="115"/>
      <c r="H134" s="217"/>
      <c r="I134" s="218"/>
    </row>
    <row r="135" spans="2:9" hidden="1">
      <c r="B135" s="211"/>
      <c r="C135" s="211"/>
      <c r="D135" s="211"/>
      <c r="E135" s="216"/>
      <c r="F135" s="115"/>
      <c r="G135" s="115"/>
      <c r="H135" s="217"/>
      <c r="I135" s="218"/>
    </row>
    <row r="136" spans="2:9" hidden="1">
      <c r="B136" s="211"/>
      <c r="C136" s="211"/>
      <c r="D136" s="211"/>
      <c r="E136" s="216"/>
      <c r="F136" s="115"/>
      <c r="G136" s="115"/>
      <c r="H136" s="217"/>
      <c r="I136" s="218"/>
    </row>
    <row r="137" spans="2:9" hidden="1">
      <c r="B137" s="211"/>
      <c r="C137" s="211"/>
      <c r="D137" s="211"/>
      <c r="E137" s="216"/>
      <c r="F137" s="115"/>
      <c r="G137" s="115"/>
      <c r="H137" s="217"/>
      <c r="I137" s="218"/>
    </row>
    <row r="138" spans="2:9" hidden="1">
      <c r="B138" s="211"/>
      <c r="C138" s="211"/>
      <c r="D138" s="211"/>
      <c r="E138" s="216"/>
      <c r="F138" s="115"/>
      <c r="G138" s="115"/>
      <c r="H138" s="217"/>
      <c r="I138" s="218"/>
    </row>
    <row r="139" spans="2:9" hidden="1">
      <c r="B139" s="211"/>
      <c r="C139" s="211"/>
      <c r="D139" s="211"/>
      <c r="E139" s="216"/>
      <c r="F139" s="115"/>
      <c r="G139" s="115"/>
      <c r="H139" s="217"/>
      <c r="I139" s="218"/>
    </row>
    <row r="140" spans="2:9" hidden="1">
      <c r="B140" s="211"/>
      <c r="C140" s="211"/>
      <c r="D140" s="211"/>
      <c r="E140" s="216"/>
      <c r="F140" s="115"/>
      <c r="G140" s="115"/>
      <c r="H140" s="217"/>
      <c r="I140" s="218"/>
    </row>
    <row r="141" spans="2:9" hidden="1">
      <c r="B141" s="211"/>
      <c r="C141" s="211"/>
      <c r="D141" s="211"/>
      <c r="E141" s="216"/>
      <c r="F141" s="115"/>
      <c r="G141" s="115"/>
      <c r="H141" s="217"/>
      <c r="I141" s="218"/>
    </row>
    <row r="142" spans="2:9">
      <c r="B142" s="211"/>
      <c r="C142" s="211"/>
      <c r="D142" s="211"/>
      <c r="E142" s="216"/>
      <c r="F142" s="115"/>
      <c r="G142" s="115"/>
      <c r="H142" s="217"/>
      <c r="I142" s="218"/>
    </row>
    <row r="143" spans="2:9">
      <c r="B143" s="211"/>
      <c r="C143" s="211"/>
      <c r="D143" s="211"/>
      <c r="E143" s="216"/>
      <c r="F143" s="115"/>
      <c r="G143" s="115"/>
      <c r="H143" s="217"/>
      <c r="I143" s="218"/>
    </row>
    <row r="144" spans="2:9">
      <c r="B144" s="211"/>
      <c r="C144" s="211"/>
      <c r="D144" s="211"/>
      <c r="E144" s="216"/>
      <c r="F144" s="115"/>
      <c r="G144" s="115"/>
      <c r="H144" s="217"/>
      <c r="I144" s="218"/>
    </row>
    <row r="145" spans="2:9">
      <c r="B145" s="211"/>
      <c r="C145" s="211"/>
      <c r="D145" s="211"/>
      <c r="E145" s="216"/>
      <c r="F145" s="115"/>
      <c r="G145" s="115"/>
      <c r="H145" s="217"/>
      <c r="I145" s="218"/>
    </row>
    <row r="146" spans="2:9" hidden="1">
      <c r="B146" s="211"/>
      <c r="C146" s="211"/>
      <c r="D146" s="211"/>
      <c r="E146" s="216"/>
      <c r="F146" s="115"/>
      <c r="G146" s="115"/>
      <c r="H146" s="217"/>
      <c r="I146" s="218"/>
    </row>
    <row r="147" spans="2:9" hidden="1">
      <c r="B147" s="211"/>
      <c r="C147" s="211"/>
      <c r="D147" s="211"/>
      <c r="E147" s="216"/>
      <c r="F147" s="115"/>
      <c r="G147" s="115"/>
      <c r="H147" s="217"/>
      <c r="I147" s="218"/>
    </row>
    <row r="148" spans="2:9" hidden="1">
      <c r="B148" s="211"/>
      <c r="C148" s="211"/>
      <c r="D148" s="211"/>
      <c r="E148" s="216"/>
      <c r="F148" s="115"/>
      <c r="G148" s="115"/>
      <c r="H148" s="217"/>
      <c r="I148" s="218"/>
    </row>
    <row r="149" spans="2:9" hidden="1">
      <c r="B149" s="211"/>
      <c r="C149" s="211"/>
      <c r="D149" s="211"/>
      <c r="E149" s="216"/>
      <c r="F149" s="115"/>
      <c r="G149" s="115"/>
      <c r="H149" s="217"/>
      <c r="I149" s="218"/>
    </row>
    <row r="150" spans="2:9" hidden="1">
      <c r="B150" s="211"/>
      <c r="C150" s="211"/>
      <c r="D150" s="211"/>
      <c r="E150" s="216"/>
      <c r="F150" s="115"/>
      <c r="G150" s="115"/>
      <c r="H150" s="217"/>
      <c r="I150" s="218"/>
    </row>
    <row r="151" spans="2:9" hidden="1">
      <c r="B151" s="211"/>
      <c r="C151" s="211"/>
      <c r="D151" s="211"/>
      <c r="E151" s="216"/>
      <c r="F151" s="115"/>
      <c r="G151" s="115"/>
      <c r="H151" s="217"/>
      <c r="I151" s="218"/>
    </row>
    <row r="152" spans="2:9" hidden="1">
      <c r="B152" s="211"/>
      <c r="C152" s="211"/>
      <c r="D152" s="211"/>
      <c r="E152" s="216"/>
      <c r="F152" s="115"/>
      <c r="G152" s="115"/>
      <c r="H152" s="217"/>
      <c r="I152" s="218"/>
    </row>
    <row r="153" spans="2:9" hidden="1">
      <c r="B153" s="211"/>
      <c r="C153" s="211"/>
      <c r="D153" s="211"/>
      <c r="E153" s="216"/>
      <c r="F153" s="115"/>
      <c r="G153" s="115"/>
      <c r="H153" s="217"/>
      <c r="I153" s="218"/>
    </row>
    <row r="154" spans="2:9" hidden="1">
      <c r="B154" s="211"/>
      <c r="C154" s="211"/>
      <c r="D154" s="211"/>
      <c r="E154" s="216"/>
      <c r="F154" s="115"/>
      <c r="G154" s="115"/>
      <c r="H154" s="217"/>
      <c r="I154" s="218"/>
    </row>
    <row r="155" spans="2:9" hidden="1">
      <c r="B155" s="211"/>
      <c r="C155" s="211"/>
      <c r="D155" s="211"/>
      <c r="E155" s="216"/>
      <c r="F155" s="115"/>
      <c r="G155" s="115"/>
      <c r="H155" s="217"/>
      <c r="I155" s="218"/>
    </row>
    <row r="156" spans="2:9" hidden="1">
      <c r="B156" s="211"/>
      <c r="C156" s="211"/>
      <c r="D156" s="211"/>
      <c r="E156" s="216"/>
      <c r="F156" s="115"/>
      <c r="G156" s="115"/>
      <c r="H156" s="217"/>
      <c r="I156" s="218"/>
    </row>
    <row r="157" spans="2:9" hidden="1">
      <c r="B157" s="211"/>
      <c r="C157" s="211"/>
      <c r="D157" s="211"/>
      <c r="E157" s="216"/>
      <c r="F157" s="115"/>
      <c r="G157" s="115"/>
      <c r="H157" s="217"/>
      <c r="I157" s="218"/>
    </row>
    <row r="158" spans="2:9" hidden="1">
      <c r="B158" s="211"/>
      <c r="C158" s="211"/>
      <c r="D158" s="211"/>
      <c r="E158" s="216"/>
      <c r="F158" s="115"/>
      <c r="G158" s="115"/>
      <c r="H158" s="217"/>
      <c r="I158" s="218"/>
    </row>
    <row r="159" spans="2:9" hidden="1">
      <c r="B159" s="211"/>
      <c r="C159" s="211"/>
      <c r="D159" s="211"/>
      <c r="E159" s="216"/>
      <c r="F159" s="115"/>
      <c r="G159" s="115"/>
      <c r="H159" s="217"/>
      <c r="I159" s="218"/>
    </row>
    <row r="160" spans="2:9" hidden="1">
      <c r="C160" s="102"/>
      <c r="F160" s="3"/>
      <c r="G160" s="3"/>
      <c r="H160" s="3"/>
    </row>
    <row r="161" spans="2:8" hidden="1">
      <c r="C161" s="102"/>
      <c r="F161" s="3"/>
      <c r="G161" s="3"/>
      <c r="H161" s="3"/>
    </row>
    <row r="162" spans="2:8">
      <c r="C162" s="102"/>
      <c r="F162" s="3"/>
      <c r="G162" s="3"/>
      <c r="H162" s="3"/>
    </row>
    <row r="163" spans="2:8">
      <c r="B163" s="52"/>
      <c r="C163" s="52"/>
      <c r="D163" s="52"/>
      <c r="E163" s="52"/>
      <c r="F163" s="52"/>
      <c r="G163" s="52"/>
    </row>
    <row r="164" spans="2:8">
      <c r="B164" s="34"/>
      <c r="F164" s="242"/>
      <c r="G164" s="242"/>
    </row>
    <row r="165" spans="2:8" ht="13.2">
      <c r="B165" s="34"/>
      <c r="C165" s="243"/>
      <c r="F165" s="242"/>
      <c r="G165" s="242"/>
    </row>
    <row r="168" spans="2:8" ht="12.75" customHeight="1"/>
    <row r="169" spans="2:8" ht="12.75" customHeight="1"/>
    <row r="170" spans="2:8" ht="12.75" customHeight="1"/>
    <row r="171" spans="2:8" ht="12.75" customHeight="1"/>
    <row r="172" spans="2:8" ht="12.75" customHeight="1"/>
    <row r="173" spans="2:8" ht="12" customHeight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25.95" customHeight="1"/>
    <row r="271" ht="13.5" customHeight="1"/>
    <row r="272" ht="13.5" customHeight="1"/>
    <row r="273" ht="13.5" customHeight="1"/>
    <row r="274" ht="13.5" customHeight="1"/>
    <row r="278" ht="12.75" customHeight="1"/>
    <row r="377" spans="10:15" s="1" customFormat="1">
      <c r="J377" s="52"/>
      <c r="K377" s="52"/>
      <c r="L377" s="52"/>
      <c r="M377" s="52"/>
      <c r="N377" s="52"/>
      <c r="O377" s="52"/>
    </row>
    <row r="378" spans="10:15" s="1" customFormat="1">
      <c r="J378" s="52"/>
      <c r="K378" s="52"/>
      <c r="L378" s="52"/>
      <c r="M378" s="52"/>
      <c r="N378" s="52"/>
      <c r="O378" s="52"/>
    </row>
    <row r="379" spans="10:15" s="1" customFormat="1">
      <c r="J379" s="52"/>
      <c r="K379" s="52"/>
      <c r="L379" s="52"/>
      <c r="M379" s="52"/>
      <c r="N379" s="52"/>
      <c r="O379" s="52"/>
    </row>
  </sheetData>
  <sheetProtection formatCells="0" formatColumns="0" formatRows="0" insertColumns="0" insertRows="0" insertHyperlinks="0" deleteColumns="0" deleteRows="0" sort="0" autoFilter="0" pivotTables="0"/>
  <mergeCells count="9">
    <mergeCell ref="A1:I2"/>
    <mergeCell ref="A3:I3"/>
    <mergeCell ref="A10:H10"/>
    <mergeCell ref="A61:I61"/>
    <mergeCell ref="A16:H16"/>
    <mergeCell ref="A21:H21"/>
    <mergeCell ref="A39:H39"/>
    <mergeCell ref="A45:H45"/>
    <mergeCell ref="A51:H51"/>
  </mergeCells>
  <phoneticPr fontId="43" type="noConversion"/>
  <pageMargins left="0.25" right="0.25" top="0.75" bottom="0.75" header="0.3" footer="0.3"/>
  <pageSetup paperSize="9" scale="61" fitToHeight="6" orientation="portrait" r:id="rId1"/>
  <rowBreaks count="1" manualBreakCount="1">
    <brk id="6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81"/>
  <sheetViews>
    <sheetView view="pageBreakPreview" topLeftCell="A367" zoomScaleNormal="100" zoomScaleSheetLayoutView="100" workbookViewId="0">
      <selection activeCell="D38" sqref="D38"/>
    </sheetView>
  </sheetViews>
  <sheetFormatPr defaultColWidth="11.44140625" defaultRowHeight="11.4"/>
  <cols>
    <col min="1" max="1" width="11.44140625" style="418" customWidth="1"/>
    <col min="2" max="2" width="29.5546875" style="418" customWidth="1"/>
    <col min="3" max="3" width="20.6640625" style="418" customWidth="1"/>
    <col min="4" max="4" width="50.6640625" style="418" customWidth="1"/>
    <col min="5" max="5" width="20.5546875" style="418" customWidth="1"/>
    <col min="6" max="6" width="18" style="418" customWidth="1"/>
    <col min="7" max="7" width="11.44140625" style="418" customWidth="1"/>
    <col min="8" max="8" width="12.6640625" style="416" customWidth="1"/>
    <col min="9" max="16384" width="11.44140625" style="416"/>
  </cols>
  <sheetData>
    <row r="1" spans="1:7" ht="11.25" customHeight="1">
      <c r="A1" s="817" t="s">
        <v>178</v>
      </c>
      <c r="B1" s="818"/>
      <c r="C1" s="818"/>
      <c r="D1" s="818"/>
      <c r="E1" s="818"/>
      <c r="F1" s="818"/>
      <c r="G1" s="819"/>
    </row>
    <row r="2" spans="1:7" ht="11.25" customHeight="1">
      <c r="A2" s="820"/>
      <c r="B2" s="821"/>
      <c r="C2" s="821"/>
      <c r="D2" s="821"/>
      <c r="E2" s="821"/>
      <c r="F2" s="821"/>
      <c r="G2" s="822"/>
    </row>
    <row r="3" spans="1:7" ht="14.25" customHeight="1">
      <c r="A3" s="823" t="s">
        <v>625</v>
      </c>
      <c r="B3" s="824"/>
      <c r="C3" s="824"/>
      <c r="D3" s="824"/>
      <c r="E3" s="824"/>
      <c r="F3" s="824"/>
      <c r="G3" s="825"/>
    </row>
    <row r="4" spans="1:7">
      <c r="A4" s="823"/>
      <c r="B4" s="824"/>
      <c r="C4" s="824"/>
      <c r="D4" s="824"/>
      <c r="E4" s="824"/>
      <c r="F4" s="824"/>
      <c r="G4" s="825"/>
    </row>
    <row r="5" spans="1:7">
      <c r="A5" s="417"/>
      <c r="E5" s="419"/>
      <c r="F5" s="420"/>
      <c r="G5" s="421"/>
    </row>
    <row r="6" spans="1:7" ht="12" thickBot="1">
      <c r="A6" s="417"/>
      <c r="B6" s="422" t="s">
        <v>179</v>
      </c>
      <c r="C6" s="423"/>
      <c r="D6" s="423"/>
      <c r="E6" s="424"/>
      <c r="F6" s="425"/>
      <c r="G6" s="426"/>
    </row>
    <row r="7" spans="1:7">
      <c r="A7" s="417"/>
      <c r="B7" s="427" t="s">
        <v>180</v>
      </c>
      <c r="C7" s="428"/>
      <c r="D7" s="429"/>
      <c r="E7" s="430">
        <v>1</v>
      </c>
      <c r="F7" s="431" t="s">
        <v>577</v>
      </c>
      <c r="G7" s="432"/>
    </row>
    <row r="8" spans="1:7">
      <c r="A8" s="417"/>
      <c r="B8" s="433" t="s">
        <v>182</v>
      </c>
      <c r="C8" s="434"/>
      <c r="D8" s="435"/>
      <c r="E8" s="436">
        <v>12</v>
      </c>
      <c r="F8" s="437" t="s">
        <v>183</v>
      </c>
      <c r="G8" s="438"/>
    </row>
    <row r="9" spans="1:7" ht="13.8" thickBot="1">
      <c r="A9" s="417"/>
      <c r="B9" s="433" t="s">
        <v>184</v>
      </c>
      <c r="C9" s="434"/>
      <c r="D9" s="435"/>
      <c r="E9" s="439">
        <f>'[1]DADOS DE ENTRADA'!B5</f>
        <v>26.08</v>
      </c>
      <c r="F9" s="437" t="s">
        <v>185</v>
      </c>
      <c r="G9" s="440"/>
    </row>
    <row r="10" spans="1:7">
      <c r="A10" s="417"/>
      <c r="B10" s="441"/>
      <c r="C10" s="441"/>
      <c r="D10" s="441"/>
      <c r="E10" s="441"/>
      <c r="F10" s="441"/>
      <c r="G10" s="442"/>
    </row>
    <row r="11" spans="1:7" ht="13.8" hidden="1">
      <c r="A11" s="826" t="s">
        <v>187</v>
      </c>
      <c r="B11" s="827"/>
      <c r="C11" s="827"/>
      <c r="D11" s="827"/>
      <c r="E11" s="827"/>
      <c r="F11" s="827"/>
      <c r="G11" s="828"/>
    </row>
    <row r="12" spans="1:7" hidden="1">
      <c r="A12" s="443"/>
      <c r="G12" s="426"/>
    </row>
    <row r="13" spans="1:7" hidden="1">
      <c r="A13" s="444"/>
      <c r="B13" s="829" t="s">
        <v>578</v>
      </c>
      <c r="C13" s="830"/>
      <c r="D13" s="830"/>
      <c r="E13" s="831"/>
      <c r="G13" s="426"/>
    </row>
    <row r="14" spans="1:7" hidden="1">
      <c r="A14" s="443"/>
      <c r="G14" s="426"/>
    </row>
    <row r="15" spans="1:7" hidden="1">
      <c r="A15" s="417"/>
      <c r="B15" s="427" t="s">
        <v>469</v>
      </c>
      <c r="C15" s="428"/>
      <c r="D15" s="429"/>
      <c r="E15" s="445"/>
      <c r="F15" s="431"/>
      <c r="G15" s="432"/>
    </row>
    <row r="16" spans="1:7" ht="12.75" hidden="1" customHeight="1">
      <c r="A16" s="417"/>
      <c r="B16" s="446"/>
      <c r="C16" s="832" t="s">
        <v>188</v>
      </c>
      <c r="D16" s="833"/>
      <c r="E16" s="436"/>
      <c r="F16" s="437" t="s">
        <v>189</v>
      </c>
      <c r="G16" s="438"/>
    </row>
    <row r="17" spans="1:14" ht="13.2" hidden="1">
      <c r="A17" s="417"/>
      <c r="B17" s="447"/>
      <c r="C17" s="832" t="s">
        <v>190</v>
      </c>
      <c r="D17" s="833"/>
      <c r="E17" s="436">
        <v>0</v>
      </c>
      <c r="F17" s="437" t="s">
        <v>470</v>
      </c>
      <c r="G17" s="440"/>
    </row>
    <row r="18" spans="1:14" ht="12.75" hidden="1" customHeight="1">
      <c r="A18" s="417"/>
      <c r="B18" s="447"/>
      <c r="C18" s="832" t="s">
        <v>192</v>
      </c>
      <c r="D18" s="833"/>
      <c r="E18" s="436">
        <v>0</v>
      </c>
      <c r="F18" s="448" t="s">
        <v>193</v>
      </c>
      <c r="G18" s="438"/>
    </row>
    <row r="19" spans="1:14" ht="12" hidden="1" thickBot="1">
      <c r="A19" s="417"/>
      <c r="B19" s="449"/>
      <c r="C19" s="434"/>
      <c r="D19" s="437"/>
      <c r="E19" s="450"/>
      <c r="F19" s="451"/>
      <c r="G19" s="452"/>
    </row>
    <row r="20" spans="1:14" hidden="1">
      <c r="A20" s="417"/>
      <c r="B20" s="433" t="s">
        <v>194</v>
      </c>
      <c r="C20" s="428"/>
      <c r="D20" s="429"/>
      <c r="E20" s="445" t="s">
        <v>195</v>
      </c>
      <c r="F20" s="445"/>
      <c r="G20" s="432"/>
    </row>
    <row r="21" spans="1:14" hidden="1">
      <c r="A21" s="417"/>
      <c r="B21" s="447"/>
      <c r="C21" s="453" t="s">
        <v>196</v>
      </c>
      <c r="D21" s="454">
        <v>1</v>
      </c>
      <c r="E21" s="455">
        <v>0</v>
      </c>
      <c r="F21" s="437" t="s">
        <v>568</v>
      </c>
      <c r="G21" s="438"/>
    </row>
    <row r="22" spans="1:14" ht="13.2" hidden="1">
      <c r="A22" s="417"/>
      <c r="B22" s="447"/>
      <c r="C22" s="453" t="s">
        <v>198</v>
      </c>
      <c r="D22" s="456">
        <v>0</v>
      </c>
      <c r="E22" s="455">
        <f>D22*E18</f>
        <v>0</v>
      </c>
      <c r="F22" s="437" t="s">
        <v>197</v>
      </c>
      <c r="G22" s="440"/>
    </row>
    <row r="23" spans="1:14" ht="13.2" hidden="1">
      <c r="A23" s="417"/>
      <c r="B23" s="447"/>
      <c r="C23" s="453" t="s">
        <v>471</v>
      </c>
      <c r="D23" s="457">
        <v>0</v>
      </c>
      <c r="E23" s="455">
        <v>0</v>
      </c>
      <c r="F23" s="437" t="s">
        <v>197</v>
      </c>
      <c r="G23" s="440"/>
    </row>
    <row r="24" spans="1:14" ht="12" hidden="1" thickBot="1">
      <c r="A24" s="417"/>
      <c r="B24" s="449"/>
      <c r="C24" s="458"/>
      <c r="D24" s="459"/>
      <c r="E24" s="460"/>
      <c r="F24" s="461"/>
      <c r="G24" s="462"/>
      <c r="H24" s="463"/>
    </row>
    <row r="25" spans="1:14" hidden="1">
      <c r="A25" s="417"/>
      <c r="B25" s="464" t="s">
        <v>200</v>
      </c>
      <c r="C25" s="428"/>
      <c r="D25" s="429"/>
      <c r="E25" s="445"/>
      <c r="F25" s="465"/>
      <c r="G25" s="432"/>
      <c r="H25" s="463"/>
    </row>
    <row r="26" spans="1:14" ht="11.25" hidden="1" customHeight="1">
      <c r="A26" s="417"/>
      <c r="B26" s="834"/>
      <c r="C26" s="434"/>
      <c r="D26" s="435" t="s">
        <v>201</v>
      </c>
      <c r="E26" s="466" t="s">
        <v>202</v>
      </c>
      <c r="F26" s="466" t="s">
        <v>203</v>
      </c>
      <c r="G26" s="438"/>
      <c r="H26" s="463"/>
      <c r="N26" s="416" t="s">
        <v>472</v>
      </c>
    </row>
    <row r="27" spans="1:14" ht="12.75" hidden="1" customHeight="1">
      <c r="A27" s="417"/>
      <c r="B27" s="834"/>
      <c r="C27" s="434"/>
      <c r="D27" s="453" t="s">
        <v>215</v>
      </c>
      <c r="E27" s="467">
        <v>0</v>
      </c>
      <c r="F27" s="467">
        <v>0</v>
      </c>
      <c r="G27" s="438"/>
      <c r="H27" s="463"/>
    </row>
    <row r="28" spans="1:14" ht="12.75" hidden="1" customHeight="1">
      <c r="A28" s="417"/>
      <c r="B28" s="834"/>
      <c r="C28" s="434"/>
      <c r="D28" s="453" t="s">
        <v>216</v>
      </c>
      <c r="E28" s="467">
        <f>ROUND(E22,0)</f>
        <v>0</v>
      </c>
      <c r="F28" s="467">
        <v>0</v>
      </c>
      <c r="G28" s="438"/>
      <c r="H28" s="463"/>
    </row>
    <row r="29" spans="1:14" ht="13.2" hidden="1">
      <c r="A29" s="417"/>
      <c r="B29" s="834"/>
      <c r="C29" s="434"/>
      <c r="D29" s="453" t="s">
        <v>206</v>
      </c>
      <c r="E29" s="467">
        <f>ROUND(E23,0)</f>
        <v>0</v>
      </c>
      <c r="F29" s="467" t="s">
        <v>166</v>
      </c>
      <c r="G29" s="440"/>
      <c r="H29" s="463"/>
    </row>
    <row r="30" spans="1:14" ht="13.8" hidden="1" thickBot="1">
      <c r="A30" s="417"/>
      <c r="B30" s="834"/>
      <c r="C30" s="434"/>
      <c r="D30" s="468" t="s">
        <v>461</v>
      </c>
      <c r="E30" s="436">
        <f>SUM(E27:E29)</f>
        <v>0</v>
      </c>
      <c r="F30" s="436">
        <f>SUM(F27:F29)</f>
        <v>0</v>
      </c>
      <c r="G30" s="440"/>
      <c r="H30" s="463"/>
    </row>
    <row r="31" spans="1:14" ht="13.8" hidden="1" thickBot="1">
      <c r="A31" s="417"/>
      <c r="B31" s="835"/>
      <c r="C31" s="458"/>
      <c r="D31" s="469"/>
      <c r="E31" s="469"/>
      <c r="F31" s="469"/>
      <c r="G31" s="470"/>
      <c r="H31" s="463"/>
    </row>
    <row r="32" spans="1:14" hidden="1">
      <c r="A32" s="417"/>
      <c r="C32" s="471"/>
      <c r="D32" s="472"/>
      <c r="G32" s="426"/>
    </row>
    <row r="33" spans="1:7" ht="13.8">
      <c r="A33" s="826" t="s">
        <v>579</v>
      </c>
      <c r="B33" s="827"/>
      <c r="C33" s="827"/>
      <c r="D33" s="827"/>
      <c r="E33" s="827"/>
      <c r="F33" s="827"/>
      <c r="G33" s="828"/>
    </row>
    <row r="34" spans="1:7">
      <c r="A34" s="417"/>
      <c r="G34" s="426"/>
    </row>
    <row r="35" spans="1:7">
      <c r="A35" s="417"/>
      <c r="B35" s="473"/>
      <c r="C35" s="474"/>
      <c r="G35" s="426"/>
    </row>
    <row r="36" spans="1:7">
      <c r="A36" s="475"/>
      <c r="B36" s="476" t="s">
        <v>580</v>
      </c>
      <c r="C36" s="477"/>
      <c r="D36" s="478"/>
      <c r="E36" s="473"/>
      <c r="F36" s="473"/>
      <c r="G36" s="479"/>
    </row>
    <row r="37" spans="1:7">
      <c r="A37" s="475"/>
      <c r="B37" s="480" t="s">
        <v>581</v>
      </c>
      <c r="C37" s="480">
        <v>2</v>
      </c>
      <c r="D37" s="416"/>
      <c r="E37" s="416"/>
      <c r="F37" s="416"/>
      <c r="G37" s="481"/>
    </row>
    <row r="38" spans="1:7">
      <c r="A38" s="475"/>
      <c r="B38" s="480" t="s">
        <v>582</v>
      </c>
      <c r="C38" s="480">
        <v>1</v>
      </c>
      <c r="D38" s="416"/>
      <c r="E38" s="416"/>
      <c r="F38" s="416"/>
      <c r="G38" s="481"/>
    </row>
    <row r="39" spans="1:7">
      <c r="A39" s="475"/>
      <c r="B39" s="480" t="s">
        <v>583</v>
      </c>
      <c r="C39" s="480">
        <v>1</v>
      </c>
      <c r="D39" s="416"/>
      <c r="E39" s="416"/>
      <c r="F39" s="420"/>
      <c r="G39" s="482"/>
    </row>
    <row r="40" spans="1:7" ht="12" thickBot="1">
      <c r="A40" s="417"/>
      <c r="G40" s="426"/>
    </row>
    <row r="41" spans="1:7">
      <c r="A41" s="417"/>
      <c r="B41" s="483"/>
      <c r="C41" s="431"/>
      <c r="D41" s="429"/>
      <c r="E41" s="431"/>
      <c r="F41" s="431"/>
      <c r="G41" s="432"/>
    </row>
    <row r="42" spans="1:7">
      <c r="A42" s="417"/>
      <c r="B42" s="484"/>
      <c r="C42" s="485" t="s">
        <v>584</v>
      </c>
      <c r="D42" s="435"/>
      <c r="E42" s="486">
        <v>0</v>
      </c>
      <c r="F42" s="437"/>
      <c r="G42" s="438"/>
    </row>
    <row r="43" spans="1:7" hidden="1">
      <c r="A43" s="417"/>
      <c r="B43" s="484"/>
      <c r="C43" s="485"/>
      <c r="D43" s="435" t="s">
        <v>581</v>
      </c>
      <c r="E43" s="486"/>
      <c r="F43" s="437"/>
      <c r="G43" s="438"/>
    </row>
    <row r="44" spans="1:7" ht="12" hidden="1" thickBot="1">
      <c r="A44" s="417"/>
      <c r="B44" s="484"/>
      <c r="C44" s="487" t="s">
        <v>474</v>
      </c>
      <c r="D44" s="488" t="s">
        <v>53</v>
      </c>
      <c r="E44" s="486"/>
      <c r="F44" s="437"/>
      <c r="G44" s="438"/>
    </row>
    <row r="45" spans="1:7">
      <c r="A45" s="417"/>
      <c r="B45" s="489"/>
      <c r="C45" s="490"/>
      <c r="D45" s="491" t="s">
        <v>581</v>
      </c>
      <c r="E45" s="436">
        <f>C37</f>
        <v>2</v>
      </c>
      <c r="F45" s="437"/>
      <c r="G45" s="438"/>
    </row>
    <row r="46" spans="1:7" ht="12.75" customHeight="1">
      <c r="A46" s="417"/>
      <c r="B46" s="489"/>
      <c r="C46" s="490"/>
      <c r="D46" s="491" t="s">
        <v>582</v>
      </c>
      <c r="E46" s="436">
        <v>2</v>
      </c>
      <c r="F46" s="437"/>
      <c r="G46" s="438"/>
    </row>
    <row r="47" spans="1:7" ht="13.5" customHeight="1" thickBot="1">
      <c r="A47" s="417"/>
      <c r="B47" s="492"/>
      <c r="C47" s="493"/>
      <c r="D47" s="488" t="s">
        <v>583</v>
      </c>
      <c r="E47" s="436">
        <v>2</v>
      </c>
      <c r="F47" s="437"/>
      <c r="G47" s="438"/>
    </row>
    <row r="48" spans="1:7" hidden="1">
      <c r="A48" s="417"/>
      <c r="B48" s="447"/>
      <c r="C48" s="494" t="s">
        <v>217</v>
      </c>
      <c r="D48" s="435" t="s">
        <v>56</v>
      </c>
      <c r="E48" s="436">
        <f>E42</f>
        <v>0</v>
      </c>
      <c r="F48" s="437"/>
      <c r="G48" s="438"/>
    </row>
    <row r="49" spans="1:7" hidden="1">
      <c r="A49" s="417"/>
      <c r="B49" s="447"/>
      <c r="C49" s="495" t="s">
        <v>218</v>
      </c>
      <c r="D49" s="435" t="s">
        <v>209</v>
      </c>
      <c r="E49" s="436">
        <f>E44</f>
        <v>0</v>
      </c>
      <c r="F49" s="437"/>
      <c r="G49" s="452"/>
    </row>
    <row r="50" spans="1:7" ht="12" hidden="1" thickBot="1">
      <c r="A50" s="417"/>
      <c r="B50" s="449"/>
      <c r="C50" s="458"/>
      <c r="D50" s="459" t="s">
        <v>53</v>
      </c>
      <c r="E50" s="436">
        <f>E44</f>
        <v>0</v>
      </c>
      <c r="F50" s="461"/>
      <c r="G50" s="462"/>
    </row>
    <row r="51" spans="1:7">
      <c r="A51" s="417"/>
      <c r="C51" s="496"/>
      <c r="D51" s="497"/>
      <c r="F51" s="498"/>
      <c r="G51" s="499"/>
    </row>
    <row r="52" spans="1:7" ht="13.8">
      <c r="A52" s="826" t="s">
        <v>220</v>
      </c>
      <c r="B52" s="827"/>
      <c r="C52" s="827"/>
      <c r="D52" s="827"/>
      <c r="E52" s="827"/>
      <c r="F52" s="827"/>
      <c r="G52" s="828"/>
    </row>
    <row r="53" spans="1:7">
      <c r="A53" s="417"/>
      <c r="G53" s="426"/>
    </row>
    <row r="54" spans="1:7">
      <c r="A54" s="836" t="s">
        <v>585</v>
      </c>
      <c r="B54" s="837"/>
      <c r="C54" s="837"/>
      <c r="D54" s="837"/>
      <c r="E54" s="837"/>
      <c r="F54" s="837"/>
      <c r="G54" s="838"/>
    </row>
    <row r="55" spans="1:7" ht="12" thickBot="1">
      <c r="A55" s="417"/>
      <c r="G55" s="426"/>
    </row>
    <row r="56" spans="1:7">
      <c r="A56" s="417"/>
      <c r="B56" s="500" t="s">
        <v>222</v>
      </c>
      <c r="C56" s="501" t="s">
        <v>223</v>
      </c>
      <c r="D56" s="501" t="s">
        <v>224</v>
      </c>
      <c r="E56" s="502" t="s">
        <v>225</v>
      </c>
      <c r="F56" s="431"/>
      <c r="G56" s="432"/>
    </row>
    <row r="57" spans="1:7">
      <c r="A57" s="417"/>
      <c r="B57" s="503" t="s">
        <v>581</v>
      </c>
      <c r="C57" s="504">
        <f>E45</f>
        <v>2</v>
      </c>
      <c r="D57" s="505">
        <v>1747.83</v>
      </c>
      <c r="E57" s="506">
        <f>+D57*C57</f>
        <v>3495.66</v>
      </c>
      <c r="F57" s="437"/>
      <c r="G57" s="438"/>
    </row>
    <row r="58" spans="1:7">
      <c r="A58" s="417"/>
      <c r="B58" s="503" t="s">
        <v>582</v>
      </c>
      <c r="C58" s="504">
        <f>E46</f>
        <v>2</v>
      </c>
      <c r="D58" s="507">
        <v>3347.28</v>
      </c>
      <c r="E58" s="506">
        <f>+D58*C58</f>
        <v>6694.56</v>
      </c>
      <c r="F58" s="437"/>
      <c r="G58" s="438"/>
    </row>
    <row r="59" spans="1:7">
      <c r="A59" s="417"/>
      <c r="B59" s="503" t="s">
        <v>583</v>
      </c>
      <c r="C59" s="504">
        <f>E47</f>
        <v>2</v>
      </c>
      <c r="D59" s="507">
        <f>D58</f>
        <v>3347.28</v>
      </c>
      <c r="E59" s="506">
        <f>+D59*C59</f>
        <v>6694.56</v>
      </c>
      <c r="F59" s="437"/>
      <c r="G59" s="438"/>
    </row>
    <row r="60" spans="1:7">
      <c r="A60" s="417"/>
      <c r="B60" s="508"/>
      <c r="C60" s="509"/>
      <c r="D60" s="510" t="s">
        <v>228</v>
      </c>
      <c r="E60" s="511">
        <f>SUM(E57:E59)</f>
        <v>16884.780000000002</v>
      </c>
      <c r="F60" s="512" t="s">
        <v>229</v>
      </c>
      <c r="G60" s="438"/>
    </row>
    <row r="61" spans="1:7">
      <c r="A61" s="417"/>
      <c r="B61" s="513"/>
      <c r="C61" s="514"/>
      <c r="D61" s="437"/>
      <c r="E61" s="515"/>
      <c r="F61" s="515"/>
      <c r="G61" s="438"/>
    </row>
    <row r="62" spans="1:7">
      <c r="A62" s="417"/>
      <c r="B62" s="516" t="s">
        <v>230</v>
      </c>
      <c r="C62" s="517" t="s">
        <v>223</v>
      </c>
      <c r="D62" s="518" t="s">
        <v>224</v>
      </c>
      <c r="E62" s="518" t="s">
        <v>225</v>
      </c>
      <c r="F62" s="437"/>
      <c r="G62" s="438"/>
    </row>
    <row r="63" spans="1:7">
      <c r="A63" s="417"/>
      <c r="B63" s="503" t="s">
        <v>581</v>
      </c>
      <c r="C63" s="504">
        <f>C57</f>
        <v>2</v>
      </c>
      <c r="D63" s="505">
        <f>1412*0.4</f>
        <v>564.80000000000007</v>
      </c>
      <c r="E63" s="506">
        <f>D63*C63</f>
        <v>1129.6000000000001</v>
      </c>
      <c r="F63" s="437"/>
      <c r="G63" s="438"/>
    </row>
    <row r="64" spans="1:7">
      <c r="A64" s="417"/>
      <c r="B64" s="503" t="s">
        <v>582</v>
      </c>
      <c r="C64" s="504">
        <f>C58</f>
        <v>2</v>
      </c>
      <c r="D64" s="505">
        <f>D63</f>
        <v>564.80000000000007</v>
      </c>
      <c r="E64" s="506">
        <f>D64*C64</f>
        <v>1129.6000000000001</v>
      </c>
      <c r="F64" s="437"/>
      <c r="G64" s="438"/>
    </row>
    <row r="65" spans="1:8">
      <c r="A65" s="417"/>
      <c r="B65" s="503" t="s">
        <v>583</v>
      </c>
      <c r="C65" s="504">
        <f>C59</f>
        <v>2</v>
      </c>
      <c r="D65" s="505">
        <f>D64</f>
        <v>564.80000000000007</v>
      </c>
      <c r="E65" s="506">
        <f>D65*C65</f>
        <v>1129.6000000000001</v>
      </c>
      <c r="F65" s="437"/>
      <c r="G65" s="438"/>
    </row>
    <row r="66" spans="1:8" hidden="1">
      <c r="A66" s="417"/>
      <c r="B66" s="503" t="s">
        <v>53</v>
      </c>
      <c r="C66" s="504">
        <v>0</v>
      </c>
      <c r="D66" s="505">
        <f>1212*0.2</f>
        <v>242.4</v>
      </c>
      <c r="E66" s="506">
        <f>D66*C66</f>
        <v>0</v>
      </c>
      <c r="F66" s="437"/>
      <c r="G66" s="438"/>
      <c r="H66" s="463"/>
    </row>
    <row r="67" spans="1:8">
      <c r="A67" s="417"/>
      <c r="B67" s="508"/>
      <c r="C67" s="509"/>
      <c r="D67" s="510" t="s">
        <v>231</v>
      </c>
      <c r="E67" s="511">
        <f>SUM(E63:E66)</f>
        <v>3388.8</v>
      </c>
      <c r="F67" s="512" t="s">
        <v>229</v>
      </c>
      <c r="G67" s="438"/>
    </row>
    <row r="68" spans="1:8">
      <c r="A68" s="417"/>
      <c r="B68" s="513"/>
      <c r="C68" s="514"/>
      <c r="D68" s="509"/>
      <c r="E68" s="515"/>
      <c r="F68" s="515"/>
      <c r="G68" s="438"/>
    </row>
    <row r="69" spans="1:8">
      <c r="A69" s="417"/>
      <c r="B69" s="516" t="s">
        <v>257</v>
      </c>
      <c r="C69" s="517" t="s">
        <v>223</v>
      </c>
      <c r="D69" s="517" t="s">
        <v>224</v>
      </c>
      <c r="E69" s="519" t="s">
        <v>225</v>
      </c>
      <c r="F69" s="437"/>
      <c r="G69" s="438"/>
    </row>
    <row r="70" spans="1:8">
      <c r="A70" s="417"/>
      <c r="B70" s="503" t="s">
        <v>582</v>
      </c>
      <c r="C70" s="504">
        <f>E45</f>
        <v>2</v>
      </c>
      <c r="D70" s="505">
        <f>((D58+D64)/220)*0.2*7.81*26.08</f>
        <v>724.39202943999999</v>
      </c>
      <c r="E70" s="506">
        <f>D70*C70</f>
        <v>1448.78405888</v>
      </c>
      <c r="F70" s="437"/>
      <c r="G70" s="438"/>
    </row>
    <row r="71" spans="1:8" hidden="1">
      <c r="A71" s="417"/>
      <c r="B71" s="503" t="s">
        <v>226</v>
      </c>
      <c r="C71" s="504">
        <f>E47</f>
        <v>2</v>
      </c>
      <c r="D71" s="505">
        <v>0</v>
      </c>
      <c r="E71" s="506">
        <f>D71*C71</f>
        <v>0</v>
      </c>
      <c r="F71" s="437"/>
      <c r="G71" s="438"/>
    </row>
    <row r="72" spans="1:8">
      <c r="A72" s="417"/>
      <c r="B72" s="508"/>
      <c r="C72" s="509"/>
      <c r="D72" s="510" t="s">
        <v>235</v>
      </c>
      <c r="E72" s="520">
        <f>SUM(E70:E71)</f>
        <v>1448.78405888</v>
      </c>
      <c r="F72" s="512" t="s">
        <v>229</v>
      </c>
      <c r="G72" s="438"/>
    </row>
    <row r="73" spans="1:8" hidden="1">
      <c r="A73" s="417"/>
      <c r="B73" s="513"/>
      <c r="C73" s="514"/>
      <c r="D73" s="509"/>
      <c r="E73" s="515"/>
      <c r="F73" s="515"/>
      <c r="G73" s="438"/>
    </row>
    <row r="74" spans="1:8" hidden="1">
      <c r="A74" s="417"/>
      <c r="B74" s="516" t="s">
        <v>476</v>
      </c>
      <c r="C74" s="815" t="s">
        <v>233</v>
      </c>
      <c r="D74" s="816"/>
      <c r="E74" s="518">
        <f>2*E9</f>
        <v>52.16</v>
      </c>
      <c r="F74" s="437"/>
      <c r="G74" s="438"/>
    </row>
    <row r="75" spans="1:8" hidden="1">
      <c r="A75" s="417"/>
      <c r="B75" s="516"/>
      <c r="C75" s="815" t="s">
        <v>477</v>
      </c>
      <c r="D75" s="816"/>
      <c r="E75" s="518">
        <f>1.5*E9</f>
        <v>39.119999999999997</v>
      </c>
      <c r="F75" s="437"/>
      <c r="G75" s="438"/>
    </row>
    <row r="76" spans="1:8" hidden="1">
      <c r="A76" s="417"/>
      <c r="B76" s="516"/>
      <c r="C76" s="517" t="s">
        <v>223</v>
      </c>
      <c r="D76" s="518" t="s">
        <v>224</v>
      </c>
      <c r="E76" s="518" t="s">
        <v>225</v>
      </c>
      <c r="F76" s="437"/>
      <c r="G76" s="438"/>
    </row>
    <row r="77" spans="1:8" hidden="1">
      <c r="A77" s="417"/>
      <c r="B77" s="503" t="s">
        <v>56</v>
      </c>
      <c r="C77" s="504">
        <f>E45</f>
        <v>2</v>
      </c>
      <c r="D77" s="521">
        <v>0</v>
      </c>
      <c r="E77" s="506">
        <f>ROUND(+D77*C77,2)</f>
        <v>0</v>
      </c>
      <c r="F77" s="437"/>
      <c r="G77" s="438"/>
    </row>
    <row r="78" spans="1:8" hidden="1">
      <c r="A78" s="417"/>
      <c r="B78" s="503" t="s">
        <v>226</v>
      </c>
      <c r="C78" s="504">
        <f>E47</f>
        <v>2</v>
      </c>
      <c r="D78" s="505">
        <v>0</v>
      </c>
      <c r="E78" s="506">
        <f>+D78*C78</f>
        <v>0</v>
      </c>
      <c r="F78" s="437"/>
      <c r="G78" s="438"/>
    </row>
    <row r="79" spans="1:8" hidden="1">
      <c r="A79" s="417"/>
      <c r="B79" s="508"/>
      <c r="C79" s="509"/>
      <c r="D79" s="510" t="s">
        <v>239</v>
      </c>
      <c r="E79" s="511">
        <f>ROUND(SUM(E77:E78),2)</f>
        <v>0</v>
      </c>
      <c r="F79" s="512" t="s">
        <v>229</v>
      </c>
      <c r="G79" s="438"/>
    </row>
    <row r="80" spans="1:8" hidden="1">
      <c r="A80" s="417"/>
      <c r="B80" s="513"/>
      <c r="C80" s="522"/>
      <c r="D80" s="509"/>
      <c r="E80" s="515"/>
      <c r="F80" s="523"/>
      <c r="G80" s="438"/>
    </row>
    <row r="81" spans="1:7" hidden="1">
      <c r="A81" s="417"/>
      <c r="B81" s="516" t="s">
        <v>243</v>
      </c>
      <c r="C81" s="815" t="s">
        <v>478</v>
      </c>
      <c r="D81" s="816"/>
      <c r="E81" s="524">
        <f>4.33+1.08</f>
        <v>5.41</v>
      </c>
      <c r="F81" s="437"/>
      <c r="G81" s="438"/>
    </row>
    <row r="82" spans="1:7" hidden="1">
      <c r="A82" s="417"/>
      <c r="B82" s="516"/>
      <c r="C82" s="815" t="s">
        <v>5</v>
      </c>
      <c r="D82" s="816"/>
      <c r="E82" s="518">
        <f>'[1]DADOS DE ENTRADA'!B5</f>
        <v>26.08</v>
      </c>
      <c r="F82" s="437"/>
      <c r="G82" s="438"/>
    </row>
    <row r="83" spans="1:7" hidden="1">
      <c r="A83" s="417"/>
      <c r="B83" s="516"/>
      <c r="C83" s="517" t="s">
        <v>223</v>
      </c>
      <c r="D83" s="518" t="s">
        <v>224</v>
      </c>
      <c r="E83" s="518" t="s">
        <v>225</v>
      </c>
      <c r="F83" s="437"/>
      <c r="G83" s="438"/>
    </row>
    <row r="84" spans="1:7" hidden="1">
      <c r="A84" s="417"/>
      <c r="B84" s="503" t="s">
        <v>56</v>
      </c>
      <c r="C84" s="504">
        <f>E45</f>
        <v>2</v>
      </c>
      <c r="D84" s="521">
        <f>(D77/$E$82)*$E$81</f>
        <v>0</v>
      </c>
      <c r="E84" s="506">
        <f>ROUND(+D84*C84,2)</f>
        <v>0</v>
      </c>
      <c r="F84" s="437"/>
      <c r="G84" s="438"/>
    </row>
    <row r="85" spans="1:7" hidden="1">
      <c r="A85" s="417"/>
      <c r="B85" s="503" t="s">
        <v>226</v>
      </c>
      <c r="C85" s="504">
        <f>E47</f>
        <v>2</v>
      </c>
      <c r="D85" s="521">
        <f>(D78/$E$82)*$E$81</f>
        <v>0</v>
      </c>
      <c r="E85" s="506">
        <f>+D85*C85</f>
        <v>0</v>
      </c>
      <c r="F85" s="437"/>
      <c r="G85" s="438"/>
    </row>
    <row r="86" spans="1:7" hidden="1">
      <c r="A86" s="417"/>
      <c r="B86" s="508"/>
      <c r="C86" s="509"/>
      <c r="D86" s="510" t="s">
        <v>245</v>
      </c>
      <c r="E86" s="511">
        <f>ROUND(SUM(E84:E85),2)</f>
        <v>0</v>
      </c>
      <c r="F86" s="512" t="s">
        <v>229</v>
      </c>
      <c r="G86" s="438"/>
    </row>
    <row r="87" spans="1:7">
      <c r="A87" s="417"/>
      <c r="B87" s="513"/>
      <c r="C87" s="522"/>
      <c r="D87" s="509"/>
      <c r="E87" s="515"/>
      <c r="F87" s="523"/>
      <c r="G87" s="438"/>
    </row>
    <row r="88" spans="1:7">
      <c r="A88" s="417"/>
      <c r="B88" s="446"/>
      <c r="C88" s="437"/>
      <c r="D88" s="525" t="s">
        <v>246</v>
      </c>
      <c r="E88" s="511">
        <f>ROUND(+E72+E67+E60+E79+E86,2)</f>
        <v>21722.36</v>
      </c>
      <c r="F88" s="512" t="s">
        <v>229</v>
      </c>
      <c r="G88" s="438"/>
    </row>
    <row r="89" spans="1:7">
      <c r="A89" s="417"/>
      <c r="B89" s="513"/>
      <c r="C89" s="437"/>
      <c r="D89" s="437"/>
      <c r="E89" s="515"/>
      <c r="F89" s="515"/>
      <c r="G89" s="438"/>
    </row>
    <row r="90" spans="1:7">
      <c r="A90" s="417"/>
      <c r="B90" s="526" t="s">
        <v>247</v>
      </c>
      <c r="C90" s="517" t="s">
        <v>223</v>
      </c>
      <c r="D90" s="518" t="s">
        <v>224</v>
      </c>
      <c r="E90" s="518" t="s">
        <v>225</v>
      </c>
      <c r="F90" s="437"/>
      <c r="G90" s="438"/>
    </row>
    <row r="91" spans="1:7">
      <c r="A91" s="417"/>
      <c r="B91" s="527" t="s">
        <v>248</v>
      </c>
      <c r="C91" s="528">
        <v>0.95</v>
      </c>
      <c r="D91" s="529">
        <f>E88*C91</f>
        <v>20636.241999999998</v>
      </c>
      <c r="E91" s="506">
        <f>ROUND(+D91,2)</f>
        <v>20636.240000000002</v>
      </c>
      <c r="F91" s="437"/>
      <c r="G91" s="438"/>
    </row>
    <row r="92" spans="1:7">
      <c r="A92" s="417"/>
      <c r="B92" s="508"/>
      <c r="C92" s="514"/>
      <c r="D92" s="510" t="s">
        <v>249</v>
      </c>
      <c r="E92" s="511">
        <f>ROUND(SUM(E91),2)</f>
        <v>20636.240000000002</v>
      </c>
      <c r="F92" s="512" t="s">
        <v>229</v>
      </c>
      <c r="G92" s="438"/>
    </row>
    <row r="93" spans="1:7">
      <c r="A93" s="417"/>
      <c r="B93" s="513"/>
      <c r="C93" s="437"/>
      <c r="D93" s="437"/>
      <c r="E93" s="515"/>
      <c r="F93" s="515"/>
      <c r="G93" s="438"/>
    </row>
    <row r="94" spans="1:7">
      <c r="A94" s="417"/>
      <c r="B94" s="446"/>
      <c r="C94" s="437"/>
      <c r="D94" s="525" t="s">
        <v>250</v>
      </c>
      <c r="E94" s="511">
        <f>ROUND(+E92+E88,2)</f>
        <v>42358.6</v>
      </c>
      <c r="F94" s="512" t="s">
        <v>229</v>
      </c>
      <c r="G94" s="438"/>
    </row>
    <row r="95" spans="1:7" ht="12" hidden="1" customHeight="1">
      <c r="A95" s="417"/>
      <c r="B95" s="446"/>
      <c r="C95" s="437"/>
      <c r="D95" s="437"/>
      <c r="E95" s="523"/>
      <c r="F95" s="437"/>
      <c r="G95" s="438"/>
    </row>
    <row r="96" spans="1:7" ht="12" customHeight="1">
      <c r="A96" s="417"/>
      <c r="B96" s="446"/>
      <c r="C96" s="437"/>
      <c r="D96" s="437"/>
      <c r="E96" s="523"/>
      <c r="F96" s="437"/>
      <c r="G96" s="438"/>
    </row>
    <row r="97" spans="1:7" ht="12" customHeight="1">
      <c r="A97" s="530"/>
      <c r="B97" s="345" t="s">
        <v>549</v>
      </c>
      <c r="C97" s="815"/>
      <c r="D97" s="816"/>
      <c r="E97" s="518"/>
      <c r="F97" s="437"/>
      <c r="G97" s="531"/>
    </row>
    <row r="98" spans="1:7" ht="9.6" customHeight="1">
      <c r="A98" s="530"/>
      <c r="B98" s="446"/>
      <c r="C98" s="517" t="s">
        <v>223</v>
      </c>
      <c r="D98" s="518" t="s">
        <v>224</v>
      </c>
      <c r="E98" s="518" t="s">
        <v>225</v>
      </c>
      <c r="F98" s="437"/>
      <c r="G98" s="531"/>
    </row>
    <row r="99" spans="1:7" ht="11.4" customHeight="1">
      <c r="A99" s="417"/>
      <c r="B99" s="503" t="s">
        <v>581</v>
      </c>
      <c r="C99" s="504">
        <f>C63</f>
        <v>2</v>
      </c>
      <c r="D99" s="505">
        <f>4.95*52-0.006*(D57+D63)</f>
        <v>243.52422000000004</v>
      </c>
      <c r="E99" s="506">
        <f>+D99*C99</f>
        <v>487.04844000000008</v>
      </c>
      <c r="F99" s="437"/>
      <c r="G99" s="531"/>
    </row>
    <row r="100" spans="1:7" ht="11.4" customHeight="1">
      <c r="A100" s="417"/>
      <c r="B100" s="503" t="s">
        <v>582</v>
      </c>
      <c r="C100" s="504">
        <f t="shared" ref="C100:C101" si="0">C64</f>
        <v>2</v>
      </c>
      <c r="D100" s="505">
        <f>4.95*52-0.006*(D58+D64)</f>
        <v>233.92752000000002</v>
      </c>
      <c r="E100" s="506">
        <f>+D100*C100</f>
        <v>467.85504000000003</v>
      </c>
      <c r="F100" s="437"/>
      <c r="G100" s="531"/>
    </row>
    <row r="101" spans="1:7" ht="14.4" customHeight="1">
      <c r="A101" s="417"/>
      <c r="B101" s="503" t="s">
        <v>583</v>
      </c>
      <c r="C101" s="504">
        <f t="shared" si="0"/>
        <v>2</v>
      </c>
      <c r="D101" s="505">
        <f>4.95*52-0.006*(D59+D65)</f>
        <v>233.92752000000002</v>
      </c>
      <c r="E101" s="506">
        <f>+D101*C101</f>
        <v>467.85504000000003</v>
      </c>
      <c r="F101" s="437"/>
      <c r="G101" s="531"/>
    </row>
    <row r="102" spans="1:7" ht="23.4" customHeight="1">
      <c r="A102" s="532"/>
      <c r="B102" s="508"/>
      <c r="C102" s="509"/>
      <c r="D102" s="510" t="s">
        <v>251</v>
      </c>
      <c r="E102" s="511">
        <f>SUM(E99:E101)</f>
        <v>1422.7585200000003</v>
      </c>
      <c r="F102" s="512" t="s">
        <v>229</v>
      </c>
      <c r="G102" s="531"/>
    </row>
    <row r="103" spans="1:7">
      <c r="A103" s="417"/>
      <c r="B103" s="513"/>
      <c r="C103" s="514"/>
      <c r="D103" s="509"/>
      <c r="E103" s="509"/>
      <c r="F103" s="533"/>
      <c r="G103" s="438"/>
    </row>
    <row r="104" spans="1:7">
      <c r="A104" s="417"/>
      <c r="B104" s="526" t="s">
        <v>586</v>
      </c>
      <c r="C104" s="517" t="s">
        <v>223</v>
      </c>
      <c r="D104" s="517" t="s">
        <v>224</v>
      </c>
      <c r="E104" s="519" t="s">
        <v>225</v>
      </c>
      <c r="F104" s="437"/>
      <c r="G104" s="531"/>
    </row>
    <row r="105" spans="1:7">
      <c r="A105" s="417"/>
      <c r="B105" s="503" t="s">
        <v>581</v>
      </c>
      <c r="C105" s="504">
        <f>C99</f>
        <v>2</v>
      </c>
      <c r="D105" s="505">
        <f>'01-Coleta domiciliar'!D129</f>
        <v>904.68</v>
      </c>
      <c r="E105" s="506">
        <f>ROUND(+D105*C105,2)</f>
        <v>1809.36</v>
      </c>
      <c r="F105" s="437"/>
      <c r="G105" s="531"/>
    </row>
    <row r="106" spans="1:7">
      <c r="A106" s="417"/>
      <c r="B106" s="503" t="s">
        <v>582</v>
      </c>
      <c r="C106" s="504">
        <f>C100</f>
        <v>2</v>
      </c>
      <c r="D106" s="505">
        <f>D105</f>
        <v>904.68</v>
      </c>
      <c r="E106" s="506">
        <f>ROUND(+D106*C106,2)</f>
        <v>1809.36</v>
      </c>
      <c r="F106" s="437"/>
      <c r="G106" s="531"/>
    </row>
    <row r="107" spans="1:7">
      <c r="A107" s="417"/>
      <c r="B107" s="503" t="s">
        <v>583</v>
      </c>
      <c r="C107" s="504">
        <f>C101</f>
        <v>2</v>
      </c>
      <c r="D107" s="505">
        <f>D105</f>
        <v>904.68</v>
      </c>
      <c r="E107" s="506">
        <f>ROUND(+D107*C107,2)</f>
        <v>1809.36</v>
      </c>
      <c r="F107" s="437"/>
      <c r="G107" s="531"/>
    </row>
    <row r="108" spans="1:7">
      <c r="A108" s="417"/>
      <c r="B108" s="508"/>
      <c r="C108" s="509"/>
      <c r="D108" s="510" t="s">
        <v>252</v>
      </c>
      <c r="E108" s="511">
        <f>SUM(E105:E107)</f>
        <v>5428.08</v>
      </c>
      <c r="F108" s="512" t="s">
        <v>229</v>
      </c>
      <c r="G108" s="531"/>
    </row>
    <row r="109" spans="1:7">
      <c r="A109" s="417"/>
      <c r="B109" s="513"/>
      <c r="C109" s="514"/>
      <c r="D109" s="509"/>
      <c r="E109" s="509"/>
      <c r="F109" s="533"/>
      <c r="G109" s="438"/>
    </row>
    <row r="110" spans="1:7">
      <c r="A110" s="417"/>
      <c r="B110" s="526" t="s">
        <v>718</v>
      </c>
      <c r="C110" s="517" t="s">
        <v>223</v>
      </c>
      <c r="D110" s="517" t="s">
        <v>224</v>
      </c>
      <c r="E110" s="519" t="s">
        <v>225</v>
      </c>
      <c r="F110" s="437"/>
      <c r="G110" s="531"/>
    </row>
    <row r="111" spans="1:7">
      <c r="A111" s="417"/>
      <c r="B111" s="503" t="s">
        <v>581</v>
      </c>
      <c r="C111" s="504">
        <f>C105</f>
        <v>2</v>
      </c>
      <c r="D111" s="505">
        <f>'01-Coleta domiciliar'!D135</f>
        <v>50.24</v>
      </c>
      <c r="E111" s="506">
        <f>+D111*C111</f>
        <v>100.48</v>
      </c>
      <c r="F111" s="437"/>
      <c r="G111" s="531"/>
    </row>
    <row r="112" spans="1:7">
      <c r="A112" s="417"/>
      <c r="B112" s="503" t="s">
        <v>582</v>
      </c>
      <c r="C112" s="504">
        <f t="shared" ref="C112:C113" si="1">C106</f>
        <v>2</v>
      </c>
      <c r="D112" s="505">
        <f>D111</f>
        <v>50.24</v>
      </c>
      <c r="E112" s="506">
        <f>+D112*C112</f>
        <v>100.48</v>
      </c>
      <c r="F112" s="437"/>
      <c r="G112" s="531"/>
    </row>
    <row r="113" spans="1:7">
      <c r="A113" s="417"/>
      <c r="B113" s="503" t="s">
        <v>583</v>
      </c>
      <c r="C113" s="504">
        <f t="shared" si="1"/>
        <v>2</v>
      </c>
      <c r="D113" s="505">
        <f>D112</f>
        <v>50.24</v>
      </c>
      <c r="E113" s="506">
        <f>+D113*C113</f>
        <v>100.48</v>
      </c>
      <c r="F113" s="437"/>
      <c r="G113" s="531"/>
    </row>
    <row r="114" spans="1:7">
      <c r="A114" s="417"/>
      <c r="B114" s="508"/>
      <c r="C114" s="509"/>
      <c r="D114" s="510" t="s">
        <v>253</v>
      </c>
      <c r="E114" s="511">
        <f>SUM(E111:E113)</f>
        <v>301.44</v>
      </c>
      <c r="F114" s="512" t="s">
        <v>229</v>
      </c>
      <c r="G114" s="531"/>
    </row>
    <row r="115" spans="1:7">
      <c r="A115" s="417"/>
      <c r="B115" s="513"/>
      <c r="C115" s="514"/>
      <c r="D115" s="509"/>
      <c r="E115" s="509"/>
      <c r="F115" s="533"/>
      <c r="G115" s="438"/>
    </row>
    <row r="116" spans="1:7">
      <c r="A116" s="417"/>
      <c r="B116" s="534"/>
      <c r="C116" s="514"/>
      <c r="D116" s="522" t="s">
        <v>254</v>
      </c>
      <c r="E116" s="511">
        <f>+E108+E114+E102</f>
        <v>7152.2785199999998</v>
      </c>
      <c r="F116" s="512" t="s">
        <v>229</v>
      </c>
      <c r="G116" s="531"/>
    </row>
    <row r="117" spans="1:7">
      <c r="A117" s="532"/>
      <c r="B117" s="513"/>
      <c r="C117" s="514"/>
      <c r="D117" s="509"/>
      <c r="E117" s="509"/>
      <c r="F117" s="523"/>
      <c r="G117" s="438"/>
    </row>
    <row r="118" spans="1:7">
      <c r="A118" s="532"/>
      <c r="B118" s="534"/>
      <c r="C118" s="514"/>
      <c r="D118" s="522" t="s">
        <v>587</v>
      </c>
      <c r="E118" s="511">
        <f>E94+E116</f>
        <v>49510.878519999998</v>
      </c>
      <c r="F118" s="512" t="s">
        <v>229</v>
      </c>
      <c r="G118" s="531"/>
    </row>
    <row r="119" spans="1:7" ht="12" customHeight="1" thickBot="1">
      <c r="A119" s="532"/>
      <c r="B119" s="535"/>
      <c r="C119" s="536"/>
      <c r="D119" s="537"/>
      <c r="E119" s="537"/>
      <c r="F119" s="538"/>
      <c r="G119" s="462"/>
    </row>
    <row r="120" spans="1:7" ht="12" customHeight="1" thickBot="1">
      <c r="A120" s="532"/>
      <c r="B120" s="534"/>
      <c r="C120" s="514"/>
      <c r="D120" s="509"/>
      <c r="E120" s="509"/>
      <c r="F120" s="523"/>
      <c r="G120" s="438"/>
    </row>
    <row r="121" spans="1:7">
      <c r="A121" s="417"/>
      <c r="B121" s="446"/>
      <c r="C121" s="539"/>
      <c r="D121" s="540"/>
      <c r="E121" s="540"/>
      <c r="F121" s="541"/>
      <c r="G121" s="438"/>
    </row>
    <row r="122" spans="1:7">
      <c r="A122" s="417"/>
      <c r="B122" s="446"/>
      <c r="C122" s="542" t="s">
        <v>270</v>
      </c>
      <c r="D122" s="543"/>
      <c r="E122" s="511">
        <f>E118</f>
        <v>49510.878519999998</v>
      </c>
      <c r="F122" s="544" t="s">
        <v>229</v>
      </c>
      <c r="G122" s="531"/>
    </row>
    <row r="123" spans="1:7" ht="11.25" customHeight="1">
      <c r="A123" s="417"/>
      <c r="B123" s="446"/>
      <c r="C123" s="545" t="s">
        <v>271</v>
      </c>
      <c r="D123" s="543"/>
      <c r="E123" s="543"/>
      <c r="F123" s="546"/>
      <c r="G123" s="438"/>
    </row>
    <row r="124" spans="1:7">
      <c r="A124" s="417"/>
      <c r="B124" s="446"/>
      <c r="C124" s="542" t="s">
        <v>272</v>
      </c>
      <c r="D124" s="543"/>
      <c r="E124" s="511">
        <f>+E122*E8</f>
        <v>594130.54223999998</v>
      </c>
      <c r="F124" s="544" t="s">
        <v>229</v>
      </c>
      <c r="G124" s="438"/>
    </row>
    <row r="125" spans="1:7" ht="12" thickBot="1">
      <c r="A125" s="417"/>
      <c r="B125" s="446"/>
      <c r="C125" s="547" t="s">
        <v>271</v>
      </c>
      <c r="D125" s="548"/>
      <c r="E125" s="548"/>
      <c r="F125" s="549"/>
      <c r="G125" s="531"/>
    </row>
    <row r="126" spans="1:7" ht="12" thickBot="1">
      <c r="A126" s="417"/>
      <c r="B126" s="550"/>
      <c r="C126" s="469"/>
      <c r="D126" s="469"/>
      <c r="E126" s="469"/>
      <c r="F126" s="538"/>
      <c r="G126" s="551"/>
    </row>
    <row r="127" spans="1:7" ht="13.5" customHeight="1">
      <c r="A127" s="417"/>
      <c r="B127" s="420"/>
      <c r="F127" s="552"/>
      <c r="G127" s="426"/>
    </row>
    <row r="128" spans="1:7" ht="13.5" customHeight="1">
      <c r="A128" s="826" t="s">
        <v>588</v>
      </c>
      <c r="B128" s="827"/>
      <c r="C128" s="827"/>
      <c r="D128" s="827"/>
      <c r="E128" s="827"/>
      <c r="F128" s="827"/>
      <c r="G128" s="828"/>
    </row>
    <row r="129" spans="1:7" ht="13.5" customHeight="1" thickBot="1">
      <c r="A129" s="417"/>
      <c r="B129" s="420"/>
      <c r="F129" s="552"/>
      <c r="G129" s="426"/>
    </row>
    <row r="130" spans="1:7" ht="13.5" customHeight="1">
      <c r="A130" s="417"/>
      <c r="B130" s="553" t="s">
        <v>274</v>
      </c>
      <c r="C130" s="431"/>
      <c r="D130" s="554"/>
      <c r="E130" s="554"/>
      <c r="F130" s="554"/>
      <c r="G130" s="432"/>
    </row>
    <row r="131" spans="1:7" ht="13.5" customHeight="1">
      <c r="A131" s="417"/>
      <c r="B131" s="555"/>
      <c r="C131" s="832"/>
      <c r="D131" s="839"/>
      <c r="E131" s="839"/>
      <c r="F131" s="833"/>
      <c r="G131" s="438"/>
    </row>
    <row r="132" spans="1:7" ht="13.5" customHeight="1">
      <c r="A132" s="417"/>
      <c r="B132" s="513"/>
      <c r="C132" s="556" t="s">
        <v>589</v>
      </c>
      <c r="D132" s="557" t="s">
        <v>590</v>
      </c>
      <c r="E132" s="557" t="s">
        <v>224</v>
      </c>
      <c r="F132" s="557" t="s">
        <v>277</v>
      </c>
      <c r="G132" s="558"/>
    </row>
    <row r="133" spans="1:7" ht="13.5" customHeight="1">
      <c r="A133" s="417"/>
      <c r="B133" s="513"/>
      <c r="C133" s="559" t="s">
        <v>591</v>
      </c>
      <c r="D133" s="560">
        <v>12</v>
      </c>
      <c r="E133" s="561">
        <v>250</v>
      </c>
      <c r="F133" s="524">
        <f t="shared" ref="F133:F138" si="2">(D133*E133)/12</f>
        <v>250</v>
      </c>
      <c r="G133" s="562"/>
    </row>
    <row r="134" spans="1:7" ht="13.5" customHeight="1">
      <c r="A134" s="417"/>
      <c r="B134" s="513"/>
      <c r="C134" s="559" t="s">
        <v>592</v>
      </c>
      <c r="D134" s="560">
        <v>12</v>
      </c>
      <c r="E134" s="561">
        <v>150</v>
      </c>
      <c r="F134" s="524">
        <f t="shared" si="2"/>
        <v>150</v>
      </c>
      <c r="G134" s="562"/>
    </row>
    <row r="135" spans="1:7" ht="13.5" customHeight="1">
      <c r="A135" s="417"/>
      <c r="B135" s="534"/>
      <c r="C135" s="563" t="s">
        <v>593</v>
      </c>
      <c r="D135" s="560">
        <v>12</v>
      </c>
      <c r="E135" s="561">
        <v>100</v>
      </c>
      <c r="F135" s="524">
        <f t="shared" si="2"/>
        <v>100</v>
      </c>
      <c r="G135" s="562"/>
    </row>
    <row r="136" spans="1:7" ht="13.5" customHeight="1">
      <c r="A136" s="417"/>
      <c r="B136" s="513"/>
      <c r="C136" s="559" t="s">
        <v>594</v>
      </c>
      <c r="D136" s="560">
        <v>12</v>
      </c>
      <c r="E136" s="561">
        <v>100</v>
      </c>
      <c r="F136" s="524">
        <f t="shared" si="2"/>
        <v>100</v>
      </c>
      <c r="G136" s="562"/>
    </row>
    <row r="137" spans="1:7" ht="13.5" customHeight="1">
      <c r="A137" s="417"/>
      <c r="B137" s="513"/>
      <c r="C137" s="559"/>
      <c r="D137" s="560"/>
      <c r="E137" s="561"/>
      <c r="F137" s="524">
        <f t="shared" si="2"/>
        <v>0</v>
      </c>
      <c r="G137" s="562"/>
    </row>
    <row r="138" spans="1:7" ht="13.5" customHeight="1">
      <c r="A138" s="417"/>
      <c r="B138" s="513"/>
      <c r="C138" s="559"/>
      <c r="D138" s="560"/>
      <c r="E138" s="561"/>
      <c r="F138" s="524">
        <f t="shared" si="2"/>
        <v>0</v>
      </c>
      <c r="G138" s="562"/>
    </row>
    <row r="139" spans="1:7" ht="13.5" customHeight="1">
      <c r="A139" s="417"/>
      <c r="B139" s="513"/>
      <c r="C139" s="437"/>
      <c r="D139" s="522"/>
      <c r="E139" s="525" t="s">
        <v>278</v>
      </c>
      <c r="F139" s="511">
        <f>SUM(F133:F138)</f>
        <v>600</v>
      </c>
      <c r="G139" s="564"/>
    </row>
    <row r="140" spans="1:7" ht="13.5" customHeight="1">
      <c r="A140" s="417"/>
      <c r="B140" s="513"/>
      <c r="C140" s="437"/>
      <c r="D140" s="437"/>
      <c r="E140" s="437"/>
      <c r="F140" s="437"/>
      <c r="G140" s="565"/>
    </row>
    <row r="141" spans="1:7" ht="13.5" hidden="1" customHeight="1">
      <c r="A141" s="417"/>
      <c r="B141" s="513"/>
      <c r="C141" s="840" t="s">
        <v>595</v>
      </c>
      <c r="D141" s="840"/>
      <c r="E141" s="840"/>
      <c r="F141" s="840"/>
      <c r="G141" s="565"/>
    </row>
    <row r="142" spans="1:7" ht="13.5" customHeight="1">
      <c r="A142" s="417"/>
      <c r="B142" s="555"/>
      <c r="C142" s="557" t="s">
        <v>589</v>
      </c>
      <c r="D142" s="557" t="s">
        <v>590</v>
      </c>
      <c r="E142" s="557" t="s">
        <v>224</v>
      </c>
      <c r="F142" s="557" t="s">
        <v>277</v>
      </c>
      <c r="G142" s="558"/>
    </row>
    <row r="143" spans="1:7" ht="13.5" customHeight="1">
      <c r="A143" s="417"/>
      <c r="B143" s="534"/>
      <c r="C143" s="559" t="s">
        <v>596</v>
      </c>
      <c r="D143" s="560">
        <v>12</v>
      </c>
      <c r="E143" s="561">
        <v>30000</v>
      </c>
      <c r="F143" s="524">
        <f t="shared" ref="F143:F152" si="3">(D143*E143)/12</f>
        <v>30000</v>
      </c>
      <c r="G143" s="566"/>
    </row>
    <row r="144" spans="1:7" ht="13.5" customHeight="1">
      <c r="A144" s="417"/>
      <c r="B144" s="534"/>
      <c r="C144" s="559"/>
      <c r="D144" s="560"/>
      <c r="E144" s="561"/>
      <c r="F144" s="524">
        <f t="shared" si="3"/>
        <v>0</v>
      </c>
      <c r="G144" s="566"/>
    </row>
    <row r="145" spans="1:7" ht="13.5" customHeight="1">
      <c r="A145" s="417"/>
      <c r="B145" s="513"/>
      <c r="C145" s="559"/>
      <c r="D145" s="560"/>
      <c r="E145" s="561"/>
      <c r="F145" s="524">
        <f t="shared" si="3"/>
        <v>0</v>
      </c>
      <c r="G145" s="566"/>
    </row>
    <row r="146" spans="1:7" ht="13.5" hidden="1" customHeight="1">
      <c r="A146" s="417"/>
      <c r="B146" s="534"/>
      <c r="C146" s="559"/>
      <c r="D146" s="560"/>
      <c r="E146" s="561"/>
      <c r="F146" s="524">
        <f t="shared" si="3"/>
        <v>0</v>
      </c>
      <c r="G146" s="566"/>
    </row>
    <row r="147" spans="1:7" ht="13.5" hidden="1" customHeight="1">
      <c r="A147" s="417"/>
      <c r="B147" s="513"/>
      <c r="C147" s="559"/>
      <c r="D147" s="560"/>
      <c r="E147" s="561"/>
      <c r="F147" s="524">
        <f t="shared" si="3"/>
        <v>0</v>
      </c>
      <c r="G147" s="566"/>
    </row>
    <row r="148" spans="1:7" ht="13.5" hidden="1" customHeight="1">
      <c r="A148" s="417"/>
      <c r="B148" s="534"/>
      <c r="C148" s="559"/>
      <c r="D148" s="560"/>
      <c r="E148" s="561"/>
      <c r="F148" s="524">
        <f t="shared" si="3"/>
        <v>0</v>
      </c>
      <c r="G148" s="566"/>
    </row>
    <row r="149" spans="1:7" ht="13.5" hidden="1" customHeight="1">
      <c r="A149" s="417"/>
      <c r="B149" s="555"/>
      <c r="C149" s="559"/>
      <c r="D149" s="560"/>
      <c r="E149" s="561"/>
      <c r="F149" s="524">
        <f t="shared" si="3"/>
        <v>0</v>
      </c>
      <c r="G149" s="566"/>
    </row>
    <row r="150" spans="1:7" ht="13.5" hidden="1" customHeight="1">
      <c r="A150" s="417"/>
      <c r="B150" s="513"/>
      <c r="C150" s="559"/>
      <c r="D150" s="560"/>
      <c r="E150" s="561"/>
      <c r="F150" s="524">
        <f t="shared" si="3"/>
        <v>0</v>
      </c>
      <c r="G150" s="566"/>
    </row>
    <row r="151" spans="1:7" ht="13.5" hidden="1" customHeight="1">
      <c r="A151" s="417"/>
      <c r="B151" s="513"/>
      <c r="C151" s="559"/>
      <c r="D151" s="560"/>
      <c r="E151" s="561"/>
      <c r="F151" s="524">
        <f t="shared" si="3"/>
        <v>0</v>
      </c>
      <c r="G151" s="566"/>
    </row>
    <row r="152" spans="1:7" ht="13.5" hidden="1" customHeight="1">
      <c r="A152" s="417"/>
      <c r="B152" s="513"/>
      <c r="C152" s="559"/>
      <c r="D152" s="560"/>
      <c r="E152" s="561"/>
      <c r="F152" s="524">
        <f t="shared" si="3"/>
        <v>0</v>
      </c>
      <c r="G152" s="566"/>
    </row>
    <row r="153" spans="1:7" ht="13.5" customHeight="1">
      <c r="A153" s="417"/>
      <c r="B153" s="534"/>
      <c r="C153" s="437"/>
      <c r="D153" s="522"/>
      <c r="E153" s="525" t="s">
        <v>280</v>
      </c>
      <c r="F153" s="567">
        <f>SUM(F143:F152)</f>
        <v>30000</v>
      </c>
      <c r="G153" s="564"/>
    </row>
    <row r="154" spans="1:7" ht="13.5" customHeight="1">
      <c r="A154" s="417"/>
      <c r="B154" s="513"/>
      <c r="C154" s="522"/>
      <c r="D154" s="437"/>
      <c r="E154" s="533"/>
      <c r="F154" s="568"/>
      <c r="G154" s="438"/>
    </row>
    <row r="155" spans="1:7" ht="13.5" customHeight="1">
      <c r="A155" s="417"/>
      <c r="B155" s="534"/>
      <c r="C155" s="437"/>
      <c r="D155" s="557" t="s">
        <v>597</v>
      </c>
      <c r="E155" s="557" t="s">
        <v>282</v>
      </c>
      <c r="F155" s="557" t="s">
        <v>225</v>
      </c>
      <c r="G155" s="438"/>
    </row>
    <row r="156" spans="1:7" ht="13.5" customHeight="1">
      <c r="A156" s="417"/>
      <c r="B156" s="513"/>
      <c r="C156" s="522" t="s">
        <v>598</v>
      </c>
      <c r="D156" s="560">
        <v>1</v>
      </c>
      <c r="E156" s="569">
        <f>+F139</f>
        <v>600</v>
      </c>
      <c r="F156" s="524">
        <f>ROUND(+E156*D156,2)</f>
        <v>600</v>
      </c>
      <c r="G156" s="438"/>
    </row>
    <row r="157" spans="1:7" ht="13.5" customHeight="1">
      <c r="A157" s="417"/>
      <c r="B157" s="513"/>
      <c r="C157" s="522" t="s">
        <v>599</v>
      </c>
      <c r="D157" s="560">
        <v>1</v>
      </c>
      <c r="E157" s="570">
        <f>+F153</f>
        <v>30000</v>
      </c>
      <c r="F157" s="524">
        <f>ROUND(+E157*D157,2)</f>
        <v>30000</v>
      </c>
      <c r="G157" s="438"/>
    </row>
    <row r="158" spans="1:7" ht="13.5" customHeight="1">
      <c r="A158" s="417"/>
      <c r="B158" s="513"/>
      <c r="C158" s="437"/>
      <c r="D158" s="522"/>
      <c r="E158" s="525" t="s">
        <v>285</v>
      </c>
      <c r="F158" s="511">
        <f>SUM(F156:F157)</f>
        <v>30600</v>
      </c>
      <c r="G158" s="564" t="s">
        <v>229</v>
      </c>
    </row>
    <row r="159" spans="1:7" ht="13.5" customHeight="1">
      <c r="A159" s="417"/>
      <c r="B159" s="513"/>
      <c r="C159" s="437"/>
      <c r="D159" s="434"/>
      <c r="E159" s="525" t="s">
        <v>286</v>
      </c>
      <c r="F159" s="511">
        <f>E8*F158</f>
        <v>367200</v>
      </c>
      <c r="G159" s="564" t="s">
        <v>229</v>
      </c>
    </row>
    <row r="160" spans="1:7" ht="13.5" hidden="1" customHeight="1">
      <c r="A160" s="417"/>
      <c r="B160" s="446"/>
      <c r="C160" s="437"/>
      <c r="D160" s="437"/>
      <c r="E160" s="533"/>
      <c r="F160" s="568"/>
      <c r="G160" s="438"/>
    </row>
    <row r="161" spans="1:14" ht="13.5" hidden="1" customHeight="1" thickBot="1">
      <c r="A161" s="417"/>
      <c r="B161" s="555" t="s">
        <v>600</v>
      </c>
      <c r="C161" s="437"/>
      <c r="D161" s="495"/>
      <c r="E161" s="495"/>
      <c r="F161" s="495"/>
      <c r="G161" s="438"/>
    </row>
    <row r="162" spans="1:14" ht="13.5" hidden="1" customHeight="1" thickBot="1">
      <c r="A162" s="417"/>
      <c r="B162" s="571"/>
      <c r="C162" s="572"/>
      <c r="D162" s="557" t="s">
        <v>288</v>
      </c>
      <c r="E162" s="573" t="s">
        <v>224</v>
      </c>
      <c r="F162" s="517" t="s">
        <v>277</v>
      </c>
      <c r="G162" s="438"/>
    </row>
    <row r="163" spans="1:14" ht="13.5" hidden="1" customHeight="1" thickBot="1">
      <c r="A163" s="417"/>
      <c r="B163" s="571"/>
      <c r="C163" s="572" t="s">
        <v>289</v>
      </c>
      <c r="D163" s="574">
        <v>0</v>
      </c>
      <c r="E163" s="569">
        <f>'[1]DADOS DE ENTRADA'!E8</f>
        <v>4.33</v>
      </c>
      <c r="F163" s="506">
        <f>(D163*E163)/12</f>
        <v>0</v>
      </c>
      <c r="G163" s="438"/>
    </row>
    <row r="164" spans="1:14" ht="13.5" hidden="1" customHeight="1" thickBot="1">
      <c r="A164" s="417"/>
      <c r="B164" s="571"/>
      <c r="C164" s="572" t="s">
        <v>29</v>
      </c>
      <c r="D164" s="574">
        <v>0</v>
      </c>
      <c r="E164" s="569">
        <f>'[1]DADOS DE ENTRADA'!E11</f>
        <v>44.66</v>
      </c>
      <c r="F164" s="506">
        <f>(D164*E164)/12</f>
        <v>0</v>
      </c>
      <c r="G164" s="438"/>
    </row>
    <row r="165" spans="1:14" ht="13.5" hidden="1" customHeight="1" thickBot="1">
      <c r="A165" s="417"/>
      <c r="B165" s="513"/>
      <c r="C165" s="495" t="s">
        <v>42</v>
      </c>
      <c r="D165" s="575">
        <v>0</v>
      </c>
      <c r="E165" s="576">
        <f>'[1]DADOS DE ENTRADA'!E16</f>
        <v>22.72</v>
      </c>
      <c r="F165" s="506">
        <f>(D165*E165)/12</f>
        <v>0</v>
      </c>
      <c r="G165" s="577"/>
    </row>
    <row r="166" spans="1:14" ht="13.5" hidden="1" customHeight="1" thickBot="1">
      <c r="A166" s="417"/>
      <c r="B166" s="513"/>
      <c r="C166" s="495" t="s">
        <v>50</v>
      </c>
      <c r="D166" s="575">
        <v>0</v>
      </c>
      <c r="E166" s="576">
        <f>'[1]DADOS DE ENTRADA'!E19</f>
        <v>11.33</v>
      </c>
      <c r="F166" s="506">
        <f>(D166*E166)/12</f>
        <v>0</v>
      </c>
      <c r="G166" s="577"/>
    </row>
    <row r="167" spans="1:14" s="418" customFormat="1" ht="13.5" hidden="1" customHeight="1" thickBot="1">
      <c r="A167" s="417"/>
      <c r="B167" s="513"/>
      <c r="C167" s="495" t="s">
        <v>601</v>
      </c>
      <c r="D167" s="575">
        <v>0</v>
      </c>
      <c r="E167" s="576">
        <v>350</v>
      </c>
      <c r="F167" s="506">
        <f t="shared" ref="F167:F174" si="4">(D167*E167)/12</f>
        <v>0</v>
      </c>
      <c r="G167" s="577"/>
      <c r="H167" s="416"/>
      <c r="I167" s="416"/>
      <c r="J167" s="416"/>
      <c r="K167" s="416"/>
      <c r="L167" s="416"/>
      <c r="M167" s="416"/>
      <c r="N167" s="416"/>
    </row>
    <row r="168" spans="1:14" s="418" customFormat="1" ht="13.5" hidden="1" customHeight="1" thickBot="1">
      <c r="A168" s="417"/>
      <c r="B168" s="513"/>
      <c r="C168" s="495" t="s">
        <v>602</v>
      </c>
      <c r="D168" s="575">
        <v>0</v>
      </c>
      <c r="E168" s="576">
        <v>30.17</v>
      </c>
      <c r="F168" s="506">
        <f t="shared" si="4"/>
        <v>0</v>
      </c>
      <c r="G168" s="577"/>
      <c r="H168" s="416"/>
      <c r="I168" s="416"/>
      <c r="J168" s="416"/>
      <c r="K168" s="416"/>
      <c r="L168" s="416"/>
      <c r="M168" s="416"/>
      <c r="N168" s="416"/>
    </row>
    <row r="169" spans="1:14" s="418" customFormat="1" ht="13.5" hidden="1" customHeight="1" thickBot="1">
      <c r="A169" s="417"/>
      <c r="B169" s="513"/>
      <c r="C169" s="495" t="s">
        <v>603</v>
      </c>
      <c r="D169" s="575">
        <v>0</v>
      </c>
      <c r="E169" s="576">
        <v>35.24</v>
      </c>
      <c r="F169" s="506">
        <f t="shared" si="4"/>
        <v>0</v>
      </c>
      <c r="G169" s="577"/>
      <c r="H169" s="416"/>
      <c r="I169" s="416"/>
      <c r="J169" s="416"/>
      <c r="K169" s="416"/>
      <c r="L169" s="416"/>
      <c r="M169" s="416"/>
      <c r="N169" s="416"/>
    </row>
    <row r="170" spans="1:14" s="418" customFormat="1" ht="13.5" hidden="1" customHeight="1" thickBot="1">
      <c r="A170" s="417"/>
      <c r="B170" s="513"/>
      <c r="C170" s="495" t="s">
        <v>604</v>
      </c>
      <c r="D170" s="575">
        <v>0</v>
      </c>
      <c r="E170" s="576">
        <v>48</v>
      </c>
      <c r="F170" s="506">
        <f t="shared" si="4"/>
        <v>0</v>
      </c>
      <c r="G170" s="577"/>
      <c r="H170" s="416"/>
      <c r="I170" s="416"/>
      <c r="J170" s="416"/>
      <c r="K170" s="416"/>
      <c r="L170" s="416"/>
      <c r="M170" s="416"/>
      <c r="N170" s="416"/>
    </row>
    <row r="171" spans="1:14" s="418" customFormat="1" ht="23.25" hidden="1" customHeight="1" thickBot="1">
      <c r="A171" s="417"/>
      <c r="B171" s="513"/>
      <c r="C171" s="578" t="s">
        <v>605</v>
      </c>
      <c r="D171" s="575">
        <v>0</v>
      </c>
      <c r="E171" s="576">
        <f>'[1]DADOS DE ENTRADA'!E18</f>
        <v>0.2</v>
      </c>
      <c r="F171" s="579">
        <f t="shared" si="4"/>
        <v>0</v>
      </c>
      <c r="G171" s="577"/>
      <c r="H171" s="416"/>
      <c r="I171" s="416"/>
      <c r="J171" s="416"/>
      <c r="K171" s="416"/>
      <c r="L171" s="416"/>
      <c r="M171" s="416"/>
      <c r="N171" s="416"/>
    </row>
    <row r="172" spans="1:14" s="418" customFormat="1" ht="13.5" hidden="1" customHeight="1" thickBot="1">
      <c r="A172" s="417"/>
      <c r="B172" s="513"/>
      <c r="C172" s="495" t="s">
        <v>606</v>
      </c>
      <c r="D172" s="575">
        <v>0</v>
      </c>
      <c r="E172" s="576">
        <v>54.55</v>
      </c>
      <c r="F172" s="506">
        <f t="shared" si="4"/>
        <v>0</v>
      </c>
      <c r="G172" s="577"/>
      <c r="H172" s="416"/>
      <c r="I172" s="416"/>
      <c r="J172" s="416"/>
      <c r="K172" s="416"/>
      <c r="L172" s="416"/>
      <c r="M172" s="416"/>
      <c r="N172" s="416"/>
    </row>
    <row r="173" spans="1:14" s="418" customFormat="1" ht="13.5" hidden="1" customHeight="1" thickBot="1">
      <c r="A173" s="417"/>
      <c r="B173" s="513"/>
      <c r="C173" s="495" t="s">
        <v>607</v>
      </c>
      <c r="D173" s="575">
        <v>0</v>
      </c>
      <c r="E173" s="576">
        <f>'[1]DADOS DE ENTRADA'!E7</f>
        <v>195</v>
      </c>
      <c r="F173" s="506">
        <f t="shared" si="4"/>
        <v>0</v>
      </c>
      <c r="G173" s="577"/>
      <c r="H173" s="416"/>
      <c r="I173" s="416"/>
      <c r="J173" s="416"/>
      <c r="K173" s="416"/>
      <c r="L173" s="416"/>
      <c r="M173" s="416"/>
      <c r="N173" s="416"/>
    </row>
    <row r="174" spans="1:14" s="418" customFormat="1" ht="13.5" hidden="1" customHeight="1" thickBot="1">
      <c r="A174" s="417"/>
      <c r="B174" s="513"/>
      <c r="C174" s="495" t="s">
        <v>608</v>
      </c>
      <c r="D174" s="575">
        <v>0</v>
      </c>
      <c r="E174" s="576">
        <f>'[1]DADOS DE ENTRADA'!E15</f>
        <v>2137.4</v>
      </c>
      <c r="F174" s="506">
        <f t="shared" si="4"/>
        <v>0</v>
      </c>
      <c r="G174" s="577"/>
      <c r="H174" s="416"/>
      <c r="I174" s="416"/>
      <c r="J174" s="416"/>
      <c r="K174" s="416"/>
      <c r="L174" s="416"/>
      <c r="M174" s="416"/>
      <c r="N174" s="416"/>
    </row>
    <row r="175" spans="1:14" s="418" customFormat="1" ht="13.5" hidden="1" customHeight="1" thickBot="1">
      <c r="A175" s="417"/>
      <c r="B175" s="534"/>
      <c r="C175" s="522"/>
      <c r="D175" s="437"/>
      <c r="E175" s="525" t="s">
        <v>290</v>
      </c>
      <c r="F175" s="511">
        <f>SUM(F163:F174)</f>
        <v>0</v>
      </c>
      <c r="G175" s="564" t="s">
        <v>229</v>
      </c>
      <c r="H175" s="416"/>
      <c r="I175" s="416"/>
      <c r="J175" s="416"/>
      <c r="K175" s="416"/>
      <c r="L175" s="416"/>
      <c r="M175" s="416"/>
      <c r="N175" s="416"/>
    </row>
    <row r="176" spans="1:14" s="418" customFormat="1" ht="13.5" hidden="1" customHeight="1" thickBot="1">
      <c r="A176" s="417"/>
      <c r="B176" s="534"/>
      <c r="C176" s="437"/>
      <c r="D176" s="437"/>
      <c r="E176" s="533"/>
      <c r="F176" s="533"/>
      <c r="G176" s="438"/>
      <c r="H176" s="416"/>
      <c r="I176" s="416"/>
      <c r="J176" s="416"/>
      <c r="K176" s="416"/>
      <c r="L176" s="416"/>
      <c r="M176" s="416"/>
      <c r="N176" s="416"/>
    </row>
    <row r="177" spans="1:14" s="418" customFormat="1" ht="13.5" hidden="1" customHeight="1" thickBot="1">
      <c r="A177" s="417"/>
      <c r="B177" s="503"/>
      <c r="C177" s="514"/>
      <c r="D177" s="557" t="s">
        <v>609</v>
      </c>
      <c r="E177" s="557" t="s">
        <v>282</v>
      </c>
      <c r="F177" s="557" t="s">
        <v>225</v>
      </c>
      <c r="G177" s="438"/>
      <c r="H177" s="416"/>
      <c r="I177" s="416"/>
      <c r="J177" s="416"/>
      <c r="K177" s="416"/>
      <c r="L177" s="416"/>
      <c r="M177" s="416"/>
      <c r="N177" s="416"/>
    </row>
    <row r="178" spans="1:14" s="418" customFormat="1" ht="13.5" hidden="1" customHeight="1" thickBot="1">
      <c r="A178" s="417"/>
      <c r="B178" s="513"/>
      <c r="C178" s="437"/>
      <c r="D178" s="560">
        <v>1</v>
      </c>
      <c r="E178" s="560">
        <f>F175</f>
        <v>0</v>
      </c>
      <c r="F178" s="524">
        <f>ROUND(+E178*D178,2)</f>
        <v>0</v>
      </c>
      <c r="G178" s="438"/>
      <c r="H178" s="416"/>
      <c r="I178" s="416"/>
      <c r="J178" s="416"/>
      <c r="K178" s="416"/>
      <c r="L178" s="416"/>
      <c r="M178" s="416"/>
      <c r="N178" s="416"/>
    </row>
    <row r="179" spans="1:14" s="418" customFormat="1" ht="13.5" hidden="1" customHeight="1" thickBot="1">
      <c r="A179" s="417"/>
      <c r="B179" s="446"/>
      <c r="C179" s="437"/>
      <c r="D179" s="437"/>
      <c r="E179" s="525" t="s">
        <v>292</v>
      </c>
      <c r="F179" s="511">
        <f>F178</f>
        <v>0</v>
      </c>
      <c r="G179" s="438"/>
      <c r="H179" s="416"/>
      <c r="I179" s="416"/>
      <c r="J179" s="416"/>
      <c r="K179" s="416"/>
      <c r="L179" s="416"/>
      <c r="M179" s="416"/>
      <c r="N179" s="416"/>
    </row>
    <row r="180" spans="1:14" s="418" customFormat="1" ht="13.5" hidden="1" customHeight="1" thickBot="1">
      <c r="A180" s="417"/>
      <c r="B180" s="446"/>
      <c r="C180" s="437"/>
      <c r="D180" s="437"/>
      <c r="E180" s="525" t="s">
        <v>293</v>
      </c>
      <c r="F180" s="511">
        <f>+E8*F179</f>
        <v>0</v>
      </c>
      <c r="G180" s="564" t="s">
        <v>229</v>
      </c>
      <c r="H180" s="416"/>
      <c r="I180" s="416"/>
      <c r="J180" s="416"/>
      <c r="K180" s="416"/>
      <c r="L180" s="416"/>
      <c r="M180" s="416"/>
      <c r="N180" s="416"/>
    </row>
    <row r="181" spans="1:14" s="418" customFormat="1" ht="13.5" customHeight="1" thickBot="1">
      <c r="A181" s="417"/>
      <c r="B181" s="580"/>
      <c r="C181" s="469"/>
      <c r="D181" s="469"/>
      <c r="E181" s="581"/>
      <c r="F181" s="582"/>
      <c r="G181" s="462"/>
      <c r="H181" s="416"/>
      <c r="I181" s="416"/>
      <c r="J181" s="416"/>
      <c r="K181" s="416"/>
      <c r="L181" s="416"/>
      <c r="M181" s="416"/>
      <c r="N181" s="416"/>
    </row>
    <row r="182" spans="1:14" s="418" customFormat="1" ht="13.5" customHeight="1" thickBot="1">
      <c r="A182" s="417"/>
      <c r="B182" s="513"/>
      <c r="C182" s="437"/>
      <c r="D182" s="437"/>
      <c r="E182" s="533"/>
      <c r="F182" s="515"/>
      <c r="G182" s="438"/>
      <c r="H182" s="416"/>
      <c r="I182" s="416"/>
      <c r="J182" s="416"/>
      <c r="K182" s="416"/>
      <c r="L182" s="416"/>
      <c r="M182" s="416"/>
      <c r="N182" s="416"/>
    </row>
    <row r="183" spans="1:14" ht="13.5" customHeight="1">
      <c r="A183" s="417"/>
      <c r="B183" s="446"/>
      <c r="C183" s="539"/>
      <c r="D183" s="540"/>
      <c r="E183" s="540"/>
      <c r="F183" s="541"/>
      <c r="G183" s="564"/>
    </row>
    <row r="184" spans="1:14" ht="13.5" customHeight="1">
      <c r="A184" s="417"/>
      <c r="B184" s="446"/>
      <c r="C184" s="542" t="s">
        <v>294</v>
      </c>
      <c r="D184" s="543"/>
      <c r="E184" s="511">
        <f>F179+F158</f>
        <v>30600</v>
      </c>
      <c r="F184" s="544" t="s">
        <v>229</v>
      </c>
      <c r="G184" s="438"/>
    </row>
    <row r="185" spans="1:14" ht="13.5" customHeight="1">
      <c r="A185" s="417"/>
      <c r="B185" s="446"/>
      <c r="C185" s="545"/>
      <c r="D185" s="543"/>
      <c r="E185" s="543"/>
      <c r="F185" s="546"/>
      <c r="G185" s="438"/>
    </row>
    <row r="186" spans="1:14" ht="13.5" customHeight="1">
      <c r="A186" s="417"/>
      <c r="B186" s="446"/>
      <c r="C186" s="542" t="s">
        <v>296</v>
      </c>
      <c r="D186" s="543"/>
      <c r="E186" s="511">
        <f>+E184*E8</f>
        <v>367200</v>
      </c>
      <c r="F186" s="544" t="s">
        <v>229</v>
      </c>
      <c r="G186" s="438"/>
    </row>
    <row r="187" spans="1:14" ht="13.5" customHeight="1" thickBot="1">
      <c r="A187" s="417"/>
      <c r="B187" s="446"/>
      <c r="C187" s="547"/>
      <c r="D187" s="548"/>
      <c r="E187" s="548"/>
      <c r="F187" s="549"/>
      <c r="G187" s="564"/>
    </row>
    <row r="188" spans="1:14" ht="13.5" customHeight="1" thickBot="1">
      <c r="A188" s="417"/>
      <c r="B188" s="550"/>
      <c r="C188" s="469"/>
      <c r="D188" s="469"/>
      <c r="E188" s="469"/>
      <c r="F188" s="582"/>
      <c r="G188" s="462"/>
    </row>
    <row r="189" spans="1:14" ht="13.5" customHeight="1">
      <c r="A189" s="443"/>
      <c r="B189" s="420"/>
      <c r="E189" s="552"/>
      <c r="F189" s="419"/>
      <c r="G189" s="426"/>
    </row>
    <row r="190" spans="1:14" ht="13.8">
      <c r="A190" s="826" t="s">
        <v>297</v>
      </c>
      <c r="B190" s="827"/>
      <c r="C190" s="827"/>
      <c r="D190" s="827"/>
      <c r="E190" s="827"/>
      <c r="F190" s="827"/>
      <c r="G190" s="828"/>
    </row>
    <row r="191" spans="1:14">
      <c r="A191" s="417"/>
      <c r="B191" s="420"/>
      <c r="F191" s="552"/>
      <c r="G191" s="426"/>
    </row>
    <row r="192" spans="1:14" ht="12.75" customHeight="1">
      <c r="A192" s="841" t="s">
        <v>298</v>
      </c>
      <c r="B192" s="842"/>
      <c r="C192" s="842"/>
      <c r="D192" s="842"/>
      <c r="E192" s="842"/>
      <c r="F192" s="842"/>
      <c r="G192" s="843"/>
    </row>
    <row r="193" spans="1:14" ht="12" thickBot="1">
      <c r="A193" s="417"/>
      <c r="B193" s="420"/>
      <c r="F193" s="552"/>
      <c r="G193" s="426"/>
    </row>
    <row r="194" spans="1:14">
      <c r="A194" s="475"/>
      <c r="B194" s="583" t="s">
        <v>299</v>
      </c>
      <c r="C194" s="431"/>
      <c r="D194" s="431"/>
      <c r="E194" s="584"/>
      <c r="F194" s="431"/>
      <c r="G194" s="432"/>
    </row>
    <row r="195" spans="1:14">
      <c r="A195" s="475"/>
      <c r="B195" s="585" t="s">
        <v>536</v>
      </c>
      <c r="C195" s="437"/>
      <c r="D195" s="437"/>
      <c r="E195" s="586">
        <v>0.2</v>
      </c>
      <c r="F195" s="437"/>
      <c r="G195" s="438"/>
    </row>
    <row r="196" spans="1:14">
      <c r="A196" s="475"/>
      <c r="B196" s="585"/>
      <c r="C196" s="437"/>
      <c r="D196" s="437"/>
      <c r="E196" s="437"/>
      <c r="F196" s="437"/>
      <c r="G196" s="438"/>
    </row>
    <row r="197" spans="1:14" ht="10.5" customHeight="1">
      <c r="A197" s="475"/>
      <c r="B197" s="587"/>
      <c r="C197" s="588" t="s">
        <v>626</v>
      </c>
      <c r="D197" s="589"/>
      <c r="E197" s="506">
        <v>2</v>
      </c>
      <c r="F197" s="512" t="s">
        <v>301</v>
      </c>
      <c r="G197" s="438"/>
    </row>
    <row r="198" spans="1:14">
      <c r="A198" s="475"/>
      <c r="B198" s="587"/>
      <c r="C198" s="588" t="s">
        <v>611</v>
      </c>
      <c r="D198" s="589"/>
      <c r="E198" s="436">
        <v>96504</v>
      </c>
      <c r="F198" s="512" t="s">
        <v>229</v>
      </c>
      <c r="G198" s="438"/>
    </row>
    <row r="199" spans="1:14" s="418" customFormat="1" hidden="1">
      <c r="A199" s="475"/>
      <c r="B199" s="587"/>
      <c r="C199" s="588" t="s">
        <v>303</v>
      </c>
      <c r="D199" s="589"/>
      <c r="E199" s="436">
        <v>0</v>
      </c>
      <c r="F199" s="512"/>
      <c r="G199" s="438"/>
      <c r="H199" s="416"/>
      <c r="I199" s="416"/>
      <c r="J199" s="416"/>
      <c r="K199" s="416"/>
      <c r="L199" s="416"/>
      <c r="M199" s="416"/>
      <c r="N199" s="416"/>
    </row>
    <row r="200" spans="1:14" s="418" customFormat="1" hidden="1">
      <c r="A200" s="475"/>
      <c r="B200" s="587"/>
      <c r="C200" s="588" t="s">
        <v>537</v>
      </c>
      <c r="D200" s="589"/>
      <c r="E200" s="436">
        <f>E198+E199</f>
        <v>96504</v>
      </c>
      <c r="F200" s="512"/>
      <c r="G200" s="438"/>
      <c r="H200" s="416"/>
      <c r="I200" s="416"/>
      <c r="J200" s="416"/>
      <c r="K200" s="416"/>
      <c r="L200" s="416"/>
      <c r="M200" s="416"/>
      <c r="N200" s="416"/>
    </row>
    <row r="201" spans="1:14" s="418" customFormat="1">
      <c r="A201" s="475"/>
      <c r="B201" s="587"/>
      <c r="C201" s="588" t="s">
        <v>304</v>
      </c>
      <c r="D201" s="589"/>
      <c r="E201" s="436">
        <v>5</v>
      </c>
      <c r="F201" s="512" t="s">
        <v>305</v>
      </c>
      <c r="G201" s="438"/>
      <c r="H201" s="416"/>
      <c r="I201" s="416"/>
      <c r="J201" s="416"/>
      <c r="K201" s="416"/>
      <c r="L201" s="416"/>
      <c r="M201" s="416"/>
      <c r="N201" s="416"/>
    </row>
    <row r="202" spans="1:14" s="418" customFormat="1" ht="12" thickBot="1">
      <c r="A202" s="475"/>
      <c r="B202" s="590"/>
      <c r="C202" s="588" t="s">
        <v>306</v>
      </c>
      <c r="D202" s="589"/>
      <c r="E202" s="591">
        <f>E195*E198</f>
        <v>19300.8</v>
      </c>
      <c r="F202" s="512" t="s">
        <v>229</v>
      </c>
      <c r="G202" s="438"/>
      <c r="H202" s="416"/>
      <c r="I202" s="416"/>
      <c r="J202" s="416"/>
      <c r="K202" s="416"/>
      <c r="L202" s="416"/>
      <c r="M202" s="416"/>
      <c r="N202" s="416"/>
    </row>
    <row r="203" spans="1:14" s="418" customFormat="1">
      <c r="A203" s="475"/>
      <c r="B203" s="590"/>
      <c r="C203" s="588" t="s">
        <v>307</v>
      </c>
      <c r="D203" s="589"/>
      <c r="E203" s="147">
        <v>2504</v>
      </c>
      <c r="F203" s="512" t="s">
        <v>308</v>
      </c>
      <c r="G203" s="438"/>
      <c r="H203" s="416"/>
      <c r="I203" s="416"/>
      <c r="J203" s="416"/>
      <c r="K203" s="416"/>
      <c r="L203" s="416"/>
      <c r="M203" s="416"/>
      <c r="N203" s="416"/>
    </row>
    <row r="204" spans="1:14" s="418" customFormat="1">
      <c r="A204" s="475"/>
      <c r="B204" s="585"/>
      <c r="C204" s="588" t="s">
        <v>309</v>
      </c>
      <c r="D204" s="589"/>
      <c r="E204" s="592">
        <f>(E200-E202)/(E201*E203)</f>
        <v>6.1663897763578275</v>
      </c>
      <c r="F204" s="512" t="s">
        <v>229</v>
      </c>
      <c r="G204" s="438"/>
      <c r="H204" s="416"/>
      <c r="I204" s="416"/>
      <c r="J204" s="416"/>
      <c r="K204" s="416"/>
      <c r="L204" s="416"/>
      <c r="M204" s="416"/>
      <c r="N204" s="416"/>
    </row>
    <row r="205" spans="1:14" s="418" customFormat="1">
      <c r="A205" s="475"/>
      <c r="B205" s="585"/>
      <c r="C205" s="593" t="s">
        <v>310</v>
      </c>
      <c r="D205" s="589"/>
      <c r="E205" s="592">
        <f>E204*E203</f>
        <v>15440.64</v>
      </c>
      <c r="F205" s="512" t="s">
        <v>229</v>
      </c>
      <c r="G205" s="438"/>
      <c r="H205" s="416"/>
      <c r="I205" s="416"/>
      <c r="J205" s="416"/>
      <c r="K205" s="416"/>
      <c r="L205" s="416"/>
      <c r="M205" s="416"/>
      <c r="N205" s="416"/>
    </row>
    <row r="206" spans="1:14" s="418" customFormat="1">
      <c r="A206" s="475"/>
      <c r="B206" s="585"/>
      <c r="C206" s="593" t="s">
        <v>311</v>
      </c>
      <c r="D206" s="589"/>
      <c r="E206" s="594">
        <f>E205/12</f>
        <v>1286.72</v>
      </c>
      <c r="F206" s="512" t="s">
        <v>312</v>
      </c>
      <c r="G206" s="438"/>
      <c r="H206" s="416"/>
      <c r="I206" s="416"/>
      <c r="J206" s="416"/>
      <c r="K206" s="416"/>
      <c r="L206" s="416"/>
      <c r="M206" s="416"/>
      <c r="N206" s="416"/>
    </row>
    <row r="207" spans="1:14" s="418" customFormat="1" ht="12" thickBot="1">
      <c r="A207" s="475"/>
      <c r="B207" s="585"/>
      <c r="C207" s="593" t="s">
        <v>612</v>
      </c>
      <c r="D207" s="589"/>
      <c r="E207" s="595">
        <f>E197*E206</f>
        <v>2573.44</v>
      </c>
      <c r="F207" s="512" t="s">
        <v>312</v>
      </c>
      <c r="G207" s="438"/>
      <c r="H207" s="416"/>
      <c r="I207" s="416"/>
      <c r="J207" s="416"/>
      <c r="K207" s="416"/>
      <c r="L207" s="416"/>
      <c r="M207" s="416"/>
      <c r="N207" s="416"/>
    </row>
    <row r="208" spans="1:14" s="418" customFormat="1">
      <c r="A208" s="475"/>
      <c r="B208" s="446"/>
      <c r="C208" s="437"/>
      <c r="D208" s="437"/>
      <c r="E208" s="533"/>
      <c r="F208" s="437"/>
      <c r="G208" s="438"/>
      <c r="H208" s="416"/>
      <c r="I208" s="416"/>
      <c r="J208" s="416"/>
      <c r="K208" s="416"/>
      <c r="L208" s="416"/>
      <c r="M208" s="416"/>
      <c r="N208" s="416"/>
    </row>
    <row r="209" spans="1:14" s="418" customFormat="1" hidden="1">
      <c r="A209" s="475"/>
      <c r="B209" s="446"/>
      <c r="C209" s="437"/>
      <c r="D209" s="437"/>
      <c r="E209" s="586">
        <v>0.2</v>
      </c>
      <c r="F209" s="437"/>
      <c r="G209" s="438"/>
      <c r="H209" s="416"/>
      <c r="I209" s="416"/>
      <c r="J209" s="416"/>
      <c r="K209" s="416"/>
      <c r="L209" s="416"/>
      <c r="M209" s="416"/>
      <c r="N209" s="416"/>
    </row>
    <row r="210" spans="1:14" s="418" customFormat="1" hidden="1">
      <c r="A210" s="475"/>
      <c r="B210" s="446"/>
      <c r="C210" s="437"/>
      <c r="D210" s="437"/>
      <c r="E210" s="533"/>
      <c r="F210" s="437"/>
      <c r="G210" s="438"/>
      <c r="H210" s="416"/>
      <c r="I210" s="416"/>
      <c r="J210" s="416"/>
      <c r="K210" s="416"/>
      <c r="L210" s="416"/>
      <c r="M210" s="416"/>
      <c r="N210" s="416"/>
    </row>
    <row r="211" spans="1:14" s="418" customFormat="1" hidden="1">
      <c r="A211" s="475"/>
      <c r="B211" s="446"/>
      <c r="C211" s="588" t="s">
        <v>613</v>
      </c>
      <c r="D211" s="589"/>
      <c r="E211" s="506">
        <v>0</v>
      </c>
      <c r="F211" s="512" t="s">
        <v>301</v>
      </c>
      <c r="G211" s="438"/>
      <c r="H211" s="416"/>
      <c r="I211" s="416"/>
      <c r="J211" s="416"/>
      <c r="K211" s="416"/>
      <c r="L211" s="416"/>
      <c r="M211" s="416"/>
      <c r="N211" s="416"/>
    </row>
    <row r="212" spans="1:14" s="418" customFormat="1" hidden="1">
      <c r="A212" s="475"/>
      <c r="B212" s="446"/>
      <c r="C212" s="588" t="s">
        <v>614</v>
      </c>
      <c r="D212" s="589"/>
      <c r="E212" s="436">
        <v>46900</v>
      </c>
      <c r="F212" s="512" t="s">
        <v>229</v>
      </c>
      <c r="G212" s="438"/>
      <c r="H212" s="416"/>
      <c r="I212" s="416"/>
      <c r="J212" s="416"/>
      <c r="K212" s="416"/>
      <c r="L212" s="416"/>
      <c r="M212" s="416"/>
      <c r="N212" s="416"/>
    </row>
    <row r="213" spans="1:14" s="418" customFormat="1" hidden="1">
      <c r="A213" s="475"/>
      <c r="B213" s="446"/>
      <c r="C213" s="588" t="s">
        <v>303</v>
      </c>
      <c r="D213" s="589"/>
      <c r="E213" s="436">
        <v>0</v>
      </c>
      <c r="F213" s="512"/>
      <c r="G213" s="438"/>
      <c r="H213" s="416"/>
      <c r="I213" s="416"/>
      <c r="J213" s="416"/>
      <c r="K213" s="416"/>
      <c r="L213" s="416"/>
      <c r="M213" s="416"/>
      <c r="N213" s="416"/>
    </row>
    <row r="214" spans="1:14" s="418" customFormat="1" hidden="1">
      <c r="A214" s="475"/>
      <c r="B214" s="446"/>
      <c r="C214" s="588" t="s">
        <v>537</v>
      </c>
      <c r="D214" s="589"/>
      <c r="E214" s="436">
        <f>E212+E213</f>
        <v>46900</v>
      </c>
      <c r="F214" s="512"/>
      <c r="G214" s="438"/>
      <c r="H214" s="416"/>
      <c r="I214" s="416"/>
      <c r="J214" s="416"/>
      <c r="K214" s="416"/>
      <c r="L214" s="416"/>
      <c r="M214" s="416"/>
      <c r="N214" s="416"/>
    </row>
    <row r="215" spans="1:14" s="418" customFormat="1" hidden="1">
      <c r="A215" s="475"/>
      <c r="B215" s="446"/>
      <c r="C215" s="588" t="s">
        <v>304</v>
      </c>
      <c r="D215" s="589"/>
      <c r="E215" s="436">
        <v>5</v>
      </c>
      <c r="F215" s="512" t="s">
        <v>305</v>
      </c>
      <c r="G215" s="438"/>
      <c r="H215" s="416"/>
      <c r="I215" s="416"/>
      <c r="J215" s="416"/>
      <c r="K215" s="416"/>
      <c r="L215" s="416"/>
      <c r="M215" s="416"/>
      <c r="N215" s="416"/>
    </row>
    <row r="216" spans="1:14" s="418" customFormat="1" ht="12" hidden="1" thickBot="1">
      <c r="A216" s="475"/>
      <c r="B216" s="446"/>
      <c r="C216" s="588" t="s">
        <v>306</v>
      </c>
      <c r="D216" s="589"/>
      <c r="E216" s="591">
        <f>E209*E212</f>
        <v>9380</v>
      </c>
      <c r="F216" s="512" t="s">
        <v>229</v>
      </c>
      <c r="G216" s="438"/>
      <c r="H216" s="416"/>
      <c r="I216" s="416"/>
      <c r="J216" s="416"/>
      <c r="K216" s="416"/>
      <c r="L216" s="416"/>
      <c r="M216" s="416"/>
      <c r="N216" s="416"/>
    </row>
    <row r="217" spans="1:14" s="418" customFormat="1" hidden="1">
      <c r="A217" s="475"/>
      <c r="B217" s="446"/>
      <c r="C217" s="588" t="s">
        <v>307</v>
      </c>
      <c r="D217" s="589"/>
      <c r="E217" s="147">
        <v>2504</v>
      </c>
      <c r="F217" s="512" t="s">
        <v>308</v>
      </c>
      <c r="G217" s="438"/>
      <c r="H217" s="416"/>
      <c r="I217" s="416"/>
      <c r="J217" s="416"/>
      <c r="K217" s="416"/>
      <c r="L217" s="416"/>
      <c r="M217" s="416"/>
      <c r="N217" s="416"/>
    </row>
    <row r="218" spans="1:14" s="418" customFormat="1" hidden="1">
      <c r="A218" s="475"/>
      <c r="B218" s="446"/>
      <c r="C218" s="588" t="s">
        <v>309</v>
      </c>
      <c r="D218" s="589"/>
      <c r="E218" s="592">
        <f>(E214-E216)/(E215*E217)</f>
        <v>2.9968051118210863</v>
      </c>
      <c r="F218" s="512" t="s">
        <v>229</v>
      </c>
      <c r="G218" s="438"/>
      <c r="H218" s="416"/>
      <c r="I218" s="416"/>
      <c r="J218" s="416"/>
      <c r="K218" s="416"/>
      <c r="L218" s="416"/>
      <c r="M218" s="416"/>
      <c r="N218" s="416"/>
    </row>
    <row r="219" spans="1:14" s="418" customFormat="1" hidden="1">
      <c r="A219" s="475"/>
      <c r="B219" s="446"/>
      <c r="C219" s="593" t="s">
        <v>310</v>
      </c>
      <c r="D219" s="589"/>
      <c r="E219" s="592">
        <f>E218*E217</f>
        <v>7504</v>
      </c>
      <c r="F219" s="512" t="s">
        <v>229</v>
      </c>
      <c r="G219" s="438"/>
      <c r="H219" s="416"/>
      <c r="I219" s="416"/>
      <c r="J219" s="416"/>
      <c r="K219" s="416"/>
      <c r="L219" s="416"/>
      <c r="M219" s="416"/>
      <c r="N219" s="416"/>
    </row>
    <row r="220" spans="1:14" s="418" customFormat="1" hidden="1">
      <c r="A220" s="475"/>
      <c r="B220" s="446"/>
      <c r="C220" s="593" t="s">
        <v>311</v>
      </c>
      <c r="D220" s="589"/>
      <c r="E220" s="594">
        <f>E219/12</f>
        <v>625.33333333333337</v>
      </c>
      <c r="F220" s="512" t="s">
        <v>312</v>
      </c>
      <c r="G220" s="438"/>
      <c r="H220" s="416"/>
      <c r="I220" s="416"/>
      <c r="J220" s="416"/>
      <c r="K220" s="416"/>
      <c r="L220" s="416"/>
      <c r="M220" s="416"/>
      <c r="N220" s="416"/>
    </row>
    <row r="221" spans="1:14" s="418" customFormat="1" ht="12" hidden="1" thickBot="1">
      <c r="A221" s="475"/>
      <c r="B221" s="446"/>
      <c r="C221" s="593" t="s">
        <v>313</v>
      </c>
      <c r="D221" s="589"/>
      <c r="E221" s="595">
        <f>E211*E220</f>
        <v>0</v>
      </c>
      <c r="F221" s="512" t="s">
        <v>312</v>
      </c>
      <c r="G221" s="438"/>
      <c r="H221" s="416"/>
      <c r="I221" s="416"/>
      <c r="J221" s="416"/>
      <c r="K221" s="416"/>
      <c r="L221" s="416"/>
      <c r="M221" s="416"/>
      <c r="N221" s="416"/>
    </row>
    <row r="222" spans="1:14" s="418" customFormat="1" hidden="1">
      <c r="A222" s="475"/>
      <c r="B222" s="446"/>
      <c r="C222" s="437"/>
      <c r="D222" s="437"/>
      <c r="E222" s="533"/>
      <c r="F222" s="437"/>
      <c r="G222" s="438"/>
      <c r="H222" s="416"/>
      <c r="I222" s="416"/>
      <c r="J222" s="416"/>
      <c r="K222" s="416"/>
      <c r="L222" s="416"/>
      <c r="M222" s="416"/>
      <c r="N222" s="416"/>
    </row>
    <row r="223" spans="1:14" s="418" customFormat="1" hidden="1">
      <c r="A223" s="475"/>
      <c r="B223" s="446"/>
      <c r="C223" s="437"/>
      <c r="D223" s="437"/>
      <c r="E223" s="533"/>
      <c r="F223" s="437"/>
      <c r="G223" s="438"/>
      <c r="H223" s="416"/>
      <c r="I223" s="416"/>
      <c r="J223" s="416"/>
      <c r="K223" s="416"/>
      <c r="L223" s="416"/>
      <c r="M223" s="416"/>
      <c r="N223" s="416"/>
    </row>
    <row r="224" spans="1:14" s="418" customFormat="1" hidden="1">
      <c r="A224" s="475"/>
      <c r="B224" s="446"/>
      <c r="C224" s="437"/>
      <c r="D224" s="437"/>
      <c r="E224" s="586">
        <v>0.2</v>
      </c>
      <c r="F224" s="437"/>
      <c r="G224" s="438"/>
      <c r="H224" s="416"/>
      <c r="I224" s="416"/>
      <c r="J224" s="416"/>
      <c r="K224" s="416"/>
      <c r="L224" s="416"/>
      <c r="M224" s="416"/>
      <c r="N224" s="416"/>
    </row>
    <row r="225" spans="1:14" s="418" customFormat="1" hidden="1">
      <c r="A225" s="475"/>
      <c r="B225" s="446"/>
      <c r="C225" s="437"/>
      <c r="D225" s="437"/>
      <c r="E225" s="533"/>
      <c r="F225" s="437"/>
      <c r="G225" s="438"/>
      <c r="H225" s="416"/>
      <c r="I225" s="416"/>
      <c r="J225" s="416"/>
      <c r="K225" s="416"/>
      <c r="L225" s="416"/>
      <c r="M225" s="416"/>
      <c r="N225" s="416"/>
    </row>
    <row r="226" spans="1:14" s="418" customFormat="1" hidden="1">
      <c r="A226" s="475"/>
      <c r="B226" s="446"/>
      <c r="C226" s="588" t="s">
        <v>615</v>
      </c>
      <c r="D226" s="589"/>
      <c r="E226" s="506">
        <v>0</v>
      </c>
      <c r="F226" s="512" t="s">
        <v>301</v>
      </c>
      <c r="G226" s="438"/>
      <c r="H226" s="416"/>
      <c r="I226" s="416"/>
      <c r="J226" s="416"/>
      <c r="K226" s="416"/>
      <c r="L226" s="416"/>
      <c r="M226" s="416"/>
      <c r="N226" s="416"/>
    </row>
    <row r="227" spans="1:14" s="418" customFormat="1" hidden="1">
      <c r="A227" s="475"/>
      <c r="B227" s="446"/>
      <c r="C227" s="588" t="s">
        <v>614</v>
      </c>
      <c r="D227" s="589"/>
      <c r="E227" s="436">
        <v>135000</v>
      </c>
      <c r="F227" s="512" t="s">
        <v>229</v>
      </c>
      <c r="G227" s="438"/>
      <c r="H227" s="416"/>
      <c r="I227" s="416"/>
      <c r="J227" s="416"/>
      <c r="K227" s="416"/>
      <c r="L227" s="416"/>
      <c r="M227" s="416"/>
      <c r="N227" s="416"/>
    </row>
    <row r="228" spans="1:14" s="418" customFormat="1" hidden="1">
      <c r="A228" s="475"/>
      <c r="B228" s="446"/>
      <c r="C228" s="588" t="s">
        <v>303</v>
      </c>
      <c r="D228" s="589"/>
      <c r="E228" s="436">
        <v>0</v>
      </c>
      <c r="F228" s="512"/>
      <c r="G228" s="438"/>
      <c r="H228" s="416"/>
      <c r="I228" s="416"/>
      <c r="J228" s="416"/>
      <c r="K228" s="416"/>
      <c r="L228" s="416"/>
      <c r="M228" s="416"/>
      <c r="N228" s="416"/>
    </row>
    <row r="229" spans="1:14" s="418" customFormat="1" hidden="1">
      <c r="A229" s="475"/>
      <c r="B229" s="446"/>
      <c r="C229" s="588" t="s">
        <v>537</v>
      </c>
      <c r="D229" s="589"/>
      <c r="E229" s="436">
        <f>E227+E228</f>
        <v>135000</v>
      </c>
      <c r="F229" s="512"/>
      <c r="G229" s="438"/>
      <c r="H229" s="416"/>
      <c r="I229" s="416"/>
      <c r="J229" s="416"/>
      <c r="K229" s="416"/>
      <c r="L229" s="416"/>
      <c r="M229" s="416"/>
      <c r="N229" s="416"/>
    </row>
    <row r="230" spans="1:14" s="418" customFormat="1" hidden="1">
      <c r="A230" s="475"/>
      <c r="B230" s="446"/>
      <c r="C230" s="588" t="s">
        <v>304</v>
      </c>
      <c r="D230" s="589"/>
      <c r="E230" s="436">
        <v>5</v>
      </c>
      <c r="F230" s="512" t="s">
        <v>305</v>
      </c>
      <c r="G230" s="438"/>
      <c r="H230" s="416"/>
      <c r="I230" s="416"/>
      <c r="J230" s="416"/>
      <c r="K230" s="416"/>
      <c r="L230" s="416"/>
      <c r="M230" s="416"/>
      <c r="N230" s="416"/>
    </row>
    <row r="231" spans="1:14" s="418" customFormat="1" ht="12" hidden="1" thickBot="1">
      <c r="A231" s="475"/>
      <c r="B231" s="446"/>
      <c r="C231" s="588" t="s">
        <v>306</v>
      </c>
      <c r="D231" s="589"/>
      <c r="E231" s="591">
        <f>E224*E227</f>
        <v>27000</v>
      </c>
      <c r="F231" s="512" t="s">
        <v>229</v>
      </c>
      <c r="G231" s="438"/>
      <c r="H231" s="416"/>
      <c r="I231" s="416"/>
      <c r="J231" s="416"/>
      <c r="K231" s="416"/>
      <c r="L231" s="416"/>
      <c r="M231" s="416"/>
      <c r="N231" s="416"/>
    </row>
    <row r="232" spans="1:14" s="418" customFormat="1" hidden="1">
      <c r="A232" s="475"/>
      <c r="B232" s="446"/>
      <c r="C232" s="588" t="s">
        <v>307</v>
      </c>
      <c r="D232" s="589"/>
      <c r="E232" s="147">
        <v>2504</v>
      </c>
      <c r="F232" s="512" t="s">
        <v>308</v>
      </c>
      <c r="G232" s="438"/>
      <c r="H232" s="416"/>
      <c r="I232" s="416"/>
      <c r="J232" s="416"/>
      <c r="K232" s="416"/>
      <c r="L232" s="416"/>
      <c r="M232" s="416"/>
      <c r="N232" s="416"/>
    </row>
    <row r="233" spans="1:14" s="418" customFormat="1" hidden="1">
      <c r="A233" s="475"/>
      <c r="B233" s="446"/>
      <c r="C233" s="588" t="s">
        <v>309</v>
      </c>
      <c r="D233" s="589"/>
      <c r="E233" s="592">
        <f>(E229-E231)/(E230*E232)</f>
        <v>8.6261980830670932</v>
      </c>
      <c r="F233" s="512" t="s">
        <v>229</v>
      </c>
      <c r="G233" s="438"/>
      <c r="H233" s="416"/>
      <c r="I233" s="416"/>
      <c r="J233" s="416"/>
      <c r="K233" s="416"/>
      <c r="L233" s="416"/>
      <c r="M233" s="416"/>
      <c r="N233" s="416"/>
    </row>
    <row r="234" spans="1:14" s="418" customFormat="1" hidden="1">
      <c r="A234" s="475"/>
      <c r="B234" s="446"/>
      <c r="C234" s="593" t="s">
        <v>310</v>
      </c>
      <c r="D234" s="589"/>
      <c r="E234" s="592">
        <f>E233*E232</f>
        <v>21600</v>
      </c>
      <c r="F234" s="512" t="s">
        <v>229</v>
      </c>
      <c r="G234" s="438"/>
      <c r="H234" s="416"/>
      <c r="I234" s="416"/>
      <c r="J234" s="416"/>
      <c r="K234" s="416"/>
      <c r="L234" s="416"/>
      <c r="M234" s="416"/>
      <c r="N234" s="416"/>
    </row>
    <row r="235" spans="1:14" s="418" customFormat="1" hidden="1">
      <c r="A235" s="475"/>
      <c r="B235" s="446"/>
      <c r="C235" s="593" t="s">
        <v>311</v>
      </c>
      <c r="D235" s="589"/>
      <c r="E235" s="594">
        <f>E234/12</f>
        <v>1800</v>
      </c>
      <c r="F235" s="512" t="s">
        <v>312</v>
      </c>
      <c r="G235" s="438"/>
      <c r="H235" s="416"/>
      <c r="I235" s="416"/>
      <c r="J235" s="416"/>
      <c r="K235" s="416"/>
      <c r="L235" s="416"/>
      <c r="M235" s="416"/>
      <c r="N235" s="416"/>
    </row>
    <row r="236" spans="1:14" s="418" customFormat="1" ht="12" hidden="1" thickBot="1">
      <c r="A236" s="475"/>
      <c r="B236" s="446"/>
      <c r="C236" s="593" t="s">
        <v>313</v>
      </c>
      <c r="D236" s="589"/>
      <c r="E236" s="595">
        <f>E226*E235</f>
        <v>0</v>
      </c>
      <c r="F236" s="512" t="s">
        <v>312</v>
      </c>
      <c r="G236" s="438"/>
      <c r="H236" s="416"/>
      <c r="I236" s="416"/>
      <c r="J236" s="416"/>
      <c r="K236" s="416"/>
      <c r="L236" s="416"/>
      <c r="M236" s="416"/>
      <c r="N236" s="416"/>
    </row>
    <row r="237" spans="1:14" s="418" customFormat="1">
      <c r="A237" s="475"/>
      <c r="B237" s="446"/>
      <c r="C237" s="437"/>
      <c r="D237" s="437"/>
      <c r="E237" s="533"/>
      <c r="F237" s="437"/>
      <c r="G237" s="438"/>
      <c r="H237" s="416"/>
      <c r="I237" s="416"/>
      <c r="J237" s="416"/>
      <c r="K237" s="416"/>
      <c r="L237" s="416"/>
      <c r="M237" s="416"/>
      <c r="N237" s="416"/>
    </row>
    <row r="238" spans="1:14" s="418" customFormat="1">
      <c r="A238" s="475"/>
      <c r="B238" s="446"/>
      <c r="C238" s="437"/>
      <c r="D238" s="522" t="s">
        <v>316</v>
      </c>
      <c r="E238" s="511">
        <f>E207+E221+E236</f>
        <v>2573.44</v>
      </c>
      <c r="F238" s="512" t="s">
        <v>312</v>
      </c>
      <c r="G238" s="438"/>
      <c r="H238" s="416"/>
      <c r="I238" s="416"/>
      <c r="J238" s="416"/>
      <c r="K238" s="416"/>
      <c r="L238" s="416"/>
      <c r="M238" s="416"/>
      <c r="N238" s="416"/>
    </row>
    <row r="239" spans="1:14" s="418" customFormat="1">
      <c r="A239" s="475"/>
      <c r="B239" s="446"/>
      <c r="C239" s="437"/>
      <c r="D239" s="525" t="s">
        <v>286</v>
      </c>
      <c r="E239" s="511">
        <f>E8*E238</f>
        <v>30881.279999999999</v>
      </c>
      <c r="F239" s="512" t="s">
        <v>229</v>
      </c>
      <c r="G239" s="438"/>
      <c r="H239" s="416"/>
      <c r="I239" s="416"/>
      <c r="J239" s="416"/>
      <c r="K239" s="416"/>
      <c r="L239" s="416"/>
      <c r="M239" s="416"/>
      <c r="N239" s="416"/>
    </row>
    <row r="240" spans="1:14" s="418" customFormat="1">
      <c r="A240" s="417"/>
      <c r="B240" s="446"/>
      <c r="C240" s="437"/>
      <c r="D240" s="437"/>
      <c r="E240" s="437"/>
      <c r="F240" s="515"/>
      <c r="G240" s="596"/>
      <c r="H240" s="416"/>
      <c r="I240" s="416"/>
      <c r="J240" s="416"/>
      <c r="K240" s="416"/>
      <c r="L240" s="416"/>
      <c r="M240" s="416"/>
      <c r="N240" s="416"/>
    </row>
    <row r="241" spans="1:14" s="418" customFormat="1">
      <c r="A241" s="475"/>
      <c r="B241" s="597" t="s">
        <v>317</v>
      </c>
      <c r="C241" s="437"/>
      <c r="D241" s="437"/>
      <c r="E241" s="437"/>
      <c r="F241" s="515"/>
      <c r="G241" s="596"/>
      <c r="H241" s="416"/>
      <c r="I241" s="416"/>
      <c r="J241" s="416"/>
      <c r="K241" s="416"/>
      <c r="L241" s="416"/>
      <c r="M241" s="416"/>
      <c r="N241" s="416"/>
    </row>
    <row r="242" spans="1:14">
      <c r="A242" s="417"/>
      <c r="B242" s="585" t="s">
        <v>319</v>
      </c>
      <c r="C242" s="437"/>
      <c r="D242" s="437"/>
      <c r="E242" s="437"/>
      <c r="F242" s="515"/>
      <c r="G242" s="596"/>
    </row>
    <row r="243" spans="1:14">
      <c r="A243" s="417"/>
      <c r="B243" s="598"/>
      <c r="C243" s="599" t="s">
        <v>320</v>
      </c>
      <c r="D243" s="600"/>
      <c r="E243" s="515"/>
      <c r="F243" s="515"/>
      <c r="G243" s="596"/>
    </row>
    <row r="244" spans="1:14">
      <c r="A244" s="417"/>
      <c r="B244" s="598"/>
      <c r="C244" s="437"/>
      <c r="D244" s="437"/>
      <c r="E244" s="437"/>
      <c r="F244" s="515"/>
      <c r="G244" s="596"/>
    </row>
    <row r="245" spans="1:14">
      <c r="A245" s="417"/>
      <c r="B245" s="598"/>
      <c r="C245" s="601" t="s">
        <v>321</v>
      </c>
      <c r="D245" s="602">
        <f>E195</f>
        <v>0.2</v>
      </c>
      <c r="E245" s="437"/>
      <c r="F245" s="515"/>
      <c r="G245" s="596"/>
    </row>
    <row r="246" spans="1:14">
      <c r="A246" s="417"/>
      <c r="B246" s="598"/>
      <c r="C246" s="603" t="s">
        <v>322</v>
      </c>
      <c r="D246" s="604">
        <f>E230</f>
        <v>5</v>
      </c>
      <c r="E246" s="437"/>
      <c r="F246" s="515"/>
      <c r="G246" s="596"/>
    </row>
    <row r="247" spans="1:14">
      <c r="A247" s="417"/>
      <c r="B247" s="598"/>
      <c r="C247" s="603" t="s">
        <v>323</v>
      </c>
      <c r="D247" s="605">
        <v>0.104</v>
      </c>
      <c r="E247" s="437"/>
      <c r="F247" s="515"/>
      <c r="G247" s="596"/>
    </row>
    <row r="248" spans="1:14" ht="12" thickBot="1">
      <c r="A248" s="417"/>
      <c r="B248" s="587"/>
      <c r="C248" s="606" t="s">
        <v>324</v>
      </c>
      <c r="D248" s="607">
        <f>((2+(D246-1)*(D245+1))/(24*D246)*D247)</f>
        <v>5.8933333333333329E-3</v>
      </c>
      <c r="E248" s="512"/>
      <c r="F248" s="512"/>
      <c r="G248" s="596"/>
    </row>
    <row r="249" spans="1:14">
      <c r="A249" s="417"/>
      <c r="B249" s="587"/>
      <c r="C249" s="589"/>
      <c r="D249" s="589"/>
      <c r="E249" s="512"/>
      <c r="F249" s="512"/>
      <c r="G249" s="596"/>
    </row>
    <row r="250" spans="1:14">
      <c r="A250" s="417"/>
      <c r="B250" s="587"/>
      <c r="C250" s="588" t="s">
        <v>616</v>
      </c>
      <c r="D250" s="512"/>
      <c r="E250" s="506">
        <f>E197</f>
        <v>2</v>
      </c>
      <c r="F250" s="512" t="s">
        <v>301</v>
      </c>
      <c r="G250" s="596"/>
    </row>
    <row r="251" spans="1:14">
      <c r="A251" s="417"/>
      <c r="B251" s="587"/>
      <c r="C251" s="588" t="s">
        <v>303</v>
      </c>
      <c r="D251" s="589"/>
      <c r="E251" s="436">
        <f>E198</f>
        <v>96504</v>
      </c>
      <c r="F251" s="608"/>
      <c r="G251" s="596"/>
    </row>
    <row r="252" spans="1:14">
      <c r="A252" s="417"/>
      <c r="B252" s="587"/>
      <c r="C252" s="588" t="s">
        <v>326</v>
      </c>
      <c r="D252" s="589"/>
      <c r="E252" s="609">
        <f>D248</f>
        <v>5.8933333333333329E-3</v>
      </c>
      <c r="F252" s="610"/>
      <c r="G252" s="596"/>
    </row>
    <row r="253" spans="1:14">
      <c r="A253" s="417"/>
      <c r="B253" s="587"/>
      <c r="C253" s="588" t="s">
        <v>327</v>
      </c>
      <c r="D253" s="589"/>
      <c r="E253" s="611">
        <f>E251*E252</f>
        <v>568.73023999999998</v>
      </c>
      <c r="F253" s="512" t="s">
        <v>229</v>
      </c>
      <c r="G253" s="596"/>
    </row>
    <row r="254" spans="1:14">
      <c r="A254" s="417"/>
      <c r="B254" s="612"/>
      <c r="C254" s="593"/>
      <c r="D254" s="589"/>
      <c r="E254" s="589"/>
      <c r="F254" s="613"/>
      <c r="G254" s="596"/>
    </row>
    <row r="255" spans="1:14">
      <c r="A255" s="417"/>
      <c r="B255" s="446"/>
      <c r="C255" s="435"/>
      <c r="D255" s="522" t="s">
        <v>330</v>
      </c>
      <c r="E255" s="511">
        <f>E253</f>
        <v>568.73023999999998</v>
      </c>
      <c r="F255" s="512" t="s">
        <v>229</v>
      </c>
      <c r="G255" s="596"/>
    </row>
    <row r="256" spans="1:14" ht="13.5" customHeight="1">
      <c r="A256" s="417"/>
      <c r="B256" s="446"/>
      <c r="C256" s="434"/>
      <c r="D256" s="525" t="s">
        <v>293</v>
      </c>
      <c r="E256" s="614">
        <f>E8*E255</f>
        <v>6824.7628800000002</v>
      </c>
      <c r="F256" s="512" t="s">
        <v>229</v>
      </c>
      <c r="G256" s="596"/>
    </row>
    <row r="257" spans="1:7">
      <c r="A257" s="417"/>
      <c r="B257" s="598"/>
      <c r="C257" s="437"/>
      <c r="D257" s="437"/>
      <c r="E257" s="437"/>
      <c r="F257" s="515"/>
      <c r="G257" s="596"/>
    </row>
    <row r="258" spans="1:7">
      <c r="A258" s="475"/>
      <c r="B258" s="597" t="s">
        <v>331</v>
      </c>
      <c r="C258" s="437"/>
      <c r="D258" s="437"/>
      <c r="E258" s="437"/>
      <c r="F258" s="533"/>
      <c r="G258" s="438"/>
    </row>
    <row r="259" spans="1:7">
      <c r="A259" s="530"/>
      <c r="B259" s="513"/>
      <c r="C259" s="437"/>
      <c r="D259" s="514" t="s">
        <v>332</v>
      </c>
      <c r="E259" s="615">
        <v>0</v>
      </c>
      <c r="F259" s="512" t="s">
        <v>229</v>
      </c>
      <c r="G259" s="438"/>
    </row>
    <row r="260" spans="1:7">
      <c r="A260" s="530"/>
      <c r="B260" s="513"/>
      <c r="C260" s="437"/>
      <c r="D260" s="514" t="s">
        <v>333</v>
      </c>
      <c r="E260" s="615">
        <v>0</v>
      </c>
      <c r="F260" s="512" t="s">
        <v>229</v>
      </c>
      <c r="G260" s="438"/>
    </row>
    <row r="261" spans="1:7">
      <c r="A261" s="530"/>
      <c r="B261" s="513"/>
      <c r="C261" s="437"/>
      <c r="D261" s="437"/>
      <c r="E261" s="437"/>
      <c r="F261" s="533"/>
      <c r="G261" s="438"/>
    </row>
    <row r="262" spans="1:7">
      <c r="A262" s="530"/>
      <c r="B262" s="513"/>
      <c r="C262" s="588" t="s">
        <v>617</v>
      </c>
      <c r="D262" s="589"/>
      <c r="E262" s="506">
        <f>E250</f>
        <v>2</v>
      </c>
      <c r="F262" s="512" t="s">
        <v>301</v>
      </c>
      <c r="G262" s="438"/>
    </row>
    <row r="263" spans="1:7">
      <c r="A263" s="530"/>
      <c r="B263" s="513"/>
      <c r="C263" s="588" t="s">
        <v>303</v>
      </c>
      <c r="D263" s="589"/>
      <c r="E263" s="436">
        <f>E251</f>
        <v>96504</v>
      </c>
      <c r="F263" s="512" t="s">
        <v>229</v>
      </c>
      <c r="G263" s="438"/>
    </row>
    <row r="264" spans="1:7">
      <c r="A264" s="530"/>
      <c r="B264" s="513"/>
      <c r="C264" s="588" t="s">
        <v>334</v>
      </c>
      <c r="D264" s="616">
        <v>0.05</v>
      </c>
      <c r="E264" s="617">
        <f>E263*D264</f>
        <v>4825.2</v>
      </c>
      <c r="F264" s="618" t="s">
        <v>335</v>
      </c>
      <c r="G264" s="438"/>
    </row>
    <row r="265" spans="1:7">
      <c r="A265" s="530"/>
      <c r="B265" s="513"/>
      <c r="C265" s="588" t="s">
        <v>336</v>
      </c>
      <c r="D265" s="589"/>
      <c r="E265" s="617">
        <f>E263*0.025</f>
        <v>2412.6</v>
      </c>
      <c r="F265" s="618" t="s">
        <v>335</v>
      </c>
      <c r="G265" s="438"/>
    </row>
    <row r="266" spans="1:7">
      <c r="A266" s="530"/>
      <c r="B266" s="513"/>
      <c r="C266" s="588" t="s">
        <v>337</v>
      </c>
      <c r="D266" s="589"/>
      <c r="E266" s="511">
        <f>(E264+E265+E259+E260)/12</f>
        <v>603.15</v>
      </c>
      <c r="F266" s="618" t="s">
        <v>335</v>
      </c>
      <c r="G266" s="438"/>
    </row>
    <row r="267" spans="1:7">
      <c r="A267" s="530"/>
      <c r="B267" s="513"/>
      <c r="C267" s="588" t="s">
        <v>618</v>
      </c>
      <c r="D267" s="589"/>
      <c r="E267" s="614">
        <f>E266*E262</f>
        <v>1206.3</v>
      </c>
      <c r="F267" s="618" t="s">
        <v>335</v>
      </c>
      <c r="G267" s="438"/>
    </row>
    <row r="268" spans="1:7">
      <c r="A268" s="530"/>
      <c r="B268" s="513"/>
      <c r="C268" s="437"/>
      <c r="D268" s="437"/>
      <c r="E268" s="437"/>
      <c r="F268" s="533"/>
      <c r="G268" s="438"/>
    </row>
    <row r="269" spans="1:7" hidden="1">
      <c r="A269" s="530"/>
      <c r="B269" s="513"/>
      <c r="C269" s="588" t="s">
        <v>615</v>
      </c>
      <c r="D269" s="589"/>
      <c r="E269" s="506">
        <v>0</v>
      </c>
      <c r="F269" s="512" t="s">
        <v>301</v>
      </c>
      <c r="G269" s="438"/>
    </row>
    <row r="270" spans="1:7" hidden="1">
      <c r="A270" s="530"/>
      <c r="B270" s="513"/>
      <c r="C270" s="588" t="s">
        <v>303</v>
      </c>
      <c r="D270" s="589"/>
      <c r="E270" s="436">
        <v>0</v>
      </c>
      <c r="F270" s="512" t="s">
        <v>229</v>
      </c>
      <c r="G270" s="438"/>
    </row>
    <row r="271" spans="1:7" hidden="1">
      <c r="A271" s="530"/>
      <c r="B271" s="513"/>
      <c r="C271" s="588" t="s">
        <v>334</v>
      </c>
      <c r="D271" s="616">
        <v>0.05</v>
      </c>
      <c r="E271" s="617">
        <f>E270*D271</f>
        <v>0</v>
      </c>
      <c r="F271" s="618" t="s">
        <v>335</v>
      </c>
      <c r="G271" s="438"/>
    </row>
    <row r="272" spans="1:7" hidden="1">
      <c r="A272" s="530"/>
      <c r="B272" s="513"/>
      <c r="C272" s="588" t="s">
        <v>336</v>
      </c>
      <c r="D272" s="589"/>
      <c r="E272" s="617">
        <f>E270*0.01</f>
        <v>0</v>
      </c>
      <c r="F272" s="618" t="s">
        <v>335</v>
      </c>
      <c r="G272" s="438"/>
    </row>
    <row r="273" spans="1:14" hidden="1">
      <c r="A273" s="530"/>
      <c r="B273" s="513"/>
      <c r="C273" s="588" t="s">
        <v>337</v>
      </c>
      <c r="D273" s="589"/>
      <c r="E273" s="511">
        <f>E272</f>
        <v>0</v>
      </c>
      <c r="F273" s="618" t="s">
        <v>335</v>
      </c>
      <c r="G273" s="438"/>
    </row>
    <row r="274" spans="1:14" hidden="1">
      <c r="A274" s="530"/>
      <c r="B274" s="513"/>
      <c r="C274" s="588" t="s">
        <v>619</v>
      </c>
      <c r="D274" s="589"/>
      <c r="E274" s="614">
        <f>E273*E269</f>
        <v>0</v>
      </c>
      <c r="F274" s="618" t="s">
        <v>335</v>
      </c>
      <c r="G274" s="438"/>
    </row>
    <row r="275" spans="1:14" hidden="1">
      <c r="A275" s="530"/>
      <c r="B275" s="513"/>
      <c r="C275" s="437"/>
      <c r="D275" s="437"/>
      <c r="E275" s="437"/>
      <c r="F275" s="533"/>
      <c r="G275" s="438"/>
    </row>
    <row r="276" spans="1:14">
      <c r="A276" s="530"/>
      <c r="B276" s="513"/>
      <c r="C276" s="437"/>
      <c r="D276" s="522" t="s">
        <v>339</v>
      </c>
      <c r="E276" s="511">
        <f>E274+E267</f>
        <v>1206.3</v>
      </c>
      <c r="F276" s="512" t="s">
        <v>340</v>
      </c>
      <c r="G276" s="438"/>
    </row>
    <row r="277" spans="1:14">
      <c r="A277" s="530"/>
      <c r="B277" s="513"/>
      <c r="C277" s="437"/>
      <c r="D277" s="525" t="s">
        <v>341</v>
      </c>
      <c r="E277" s="614">
        <f>E8*E276</f>
        <v>14475.599999999999</v>
      </c>
      <c r="F277" s="512" t="s">
        <v>229</v>
      </c>
      <c r="G277" s="438"/>
    </row>
    <row r="278" spans="1:14">
      <c r="A278" s="530"/>
      <c r="B278" s="513"/>
      <c r="C278" s="437"/>
      <c r="D278" s="437"/>
      <c r="E278" s="437"/>
      <c r="F278" s="533"/>
      <c r="G278" s="438"/>
    </row>
    <row r="279" spans="1:14">
      <c r="A279" s="475"/>
      <c r="B279" s="597" t="s">
        <v>342</v>
      </c>
      <c r="C279" s="437"/>
      <c r="D279" s="437"/>
      <c r="E279" s="437"/>
      <c r="F279" s="533"/>
      <c r="G279" s="438"/>
    </row>
    <row r="280" spans="1:14">
      <c r="A280" s="475"/>
      <c r="B280" s="446"/>
      <c r="C280" s="437"/>
      <c r="D280" s="437"/>
      <c r="E280" s="437"/>
      <c r="F280" s="533"/>
      <c r="G280" s="438"/>
    </row>
    <row r="281" spans="1:14" s="418" customFormat="1">
      <c r="A281" s="475"/>
      <c r="B281" s="446"/>
      <c r="C281" s="588" t="s">
        <v>616</v>
      </c>
      <c r="D281" s="589"/>
      <c r="E281" s="506">
        <f>E262</f>
        <v>2</v>
      </c>
      <c r="F281" s="512" t="s">
        <v>301</v>
      </c>
      <c r="G281" s="438"/>
      <c r="H281" s="416"/>
      <c r="I281" s="416"/>
      <c r="J281" s="416"/>
      <c r="K281" s="416"/>
      <c r="L281" s="416"/>
      <c r="M281" s="416"/>
      <c r="N281" s="416"/>
    </row>
    <row r="282" spans="1:14" s="418" customFormat="1">
      <c r="A282" s="475"/>
      <c r="B282" s="446"/>
      <c r="C282" s="588" t="s">
        <v>303</v>
      </c>
      <c r="D282" s="589"/>
      <c r="E282" s="619">
        <f>E263</f>
        <v>96504</v>
      </c>
      <c r="F282" s="512" t="s">
        <v>229</v>
      </c>
      <c r="G282" s="438"/>
      <c r="H282" s="416"/>
      <c r="I282" s="416"/>
      <c r="J282" s="416"/>
      <c r="K282" s="416"/>
      <c r="L282" s="416"/>
      <c r="M282" s="416"/>
      <c r="N282" s="416"/>
    </row>
    <row r="283" spans="1:14" s="418" customFormat="1">
      <c r="A283" s="475"/>
      <c r="B283" s="446"/>
      <c r="C283" s="588" t="s">
        <v>304</v>
      </c>
      <c r="D283" s="589"/>
      <c r="E283" s="619">
        <f>E201</f>
        <v>5</v>
      </c>
      <c r="F283" s="618" t="s">
        <v>305</v>
      </c>
      <c r="G283" s="438"/>
      <c r="H283" s="416"/>
      <c r="I283" s="416"/>
      <c r="J283" s="416"/>
      <c r="K283" s="416"/>
      <c r="L283" s="416"/>
      <c r="M283" s="416"/>
      <c r="N283" s="416"/>
    </row>
    <row r="284" spans="1:14" s="418" customFormat="1">
      <c r="A284" s="475"/>
      <c r="B284" s="446"/>
      <c r="C284" s="588" t="s">
        <v>343</v>
      </c>
      <c r="D284" s="589"/>
      <c r="E284" s="619">
        <v>0.8</v>
      </c>
      <c r="F284" s="610"/>
      <c r="G284" s="438"/>
      <c r="H284" s="416"/>
      <c r="I284" s="416"/>
      <c r="J284" s="416"/>
      <c r="K284" s="416"/>
      <c r="L284" s="416"/>
      <c r="M284" s="416"/>
      <c r="N284" s="416"/>
    </row>
    <row r="285" spans="1:14" s="418" customFormat="1">
      <c r="A285" s="475"/>
      <c r="B285" s="446"/>
      <c r="C285" s="588" t="s">
        <v>344</v>
      </c>
      <c r="D285" s="589"/>
      <c r="E285" s="147">
        <v>2504</v>
      </c>
      <c r="F285" s="618" t="s">
        <v>345</v>
      </c>
      <c r="G285" s="438"/>
      <c r="H285" s="416"/>
      <c r="I285" s="416"/>
      <c r="J285" s="416"/>
      <c r="K285" s="416"/>
      <c r="L285" s="416"/>
      <c r="M285" s="416"/>
      <c r="N285" s="416"/>
    </row>
    <row r="286" spans="1:14" s="418" customFormat="1">
      <c r="A286" s="475"/>
      <c r="B286" s="446"/>
      <c r="C286" s="593" t="s">
        <v>337</v>
      </c>
      <c r="D286" s="589"/>
      <c r="E286" s="511">
        <f>(E282*E284)/(E283*E285)</f>
        <v>6.1663897763578275</v>
      </c>
      <c r="F286" s="512" t="s">
        <v>229</v>
      </c>
      <c r="G286" s="438"/>
      <c r="H286" s="416"/>
      <c r="I286" s="416"/>
      <c r="J286" s="416"/>
      <c r="K286" s="416"/>
      <c r="L286" s="416"/>
      <c r="M286" s="416"/>
      <c r="N286" s="416"/>
    </row>
    <row r="287" spans="1:14" s="418" customFormat="1">
      <c r="A287" s="475"/>
      <c r="B287" s="446"/>
      <c r="C287" s="593" t="s">
        <v>282</v>
      </c>
      <c r="D287" s="589"/>
      <c r="E287" s="511">
        <f>E286*E285/12</f>
        <v>1286.72</v>
      </c>
      <c r="F287" s="512" t="s">
        <v>229</v>
      </c>
      <c r="G287" s="438"/>
      <c r="H287" s="416"/>
      <c r="I287" s="416"/>
      <c r="J287" s="416"/>
      <c r="K287" s="416"/>
      <c r="L287" s="416"/>
      <c r="M287" s="416"/>
      <c r="N287" s="416"/>
    </row>
    <row r="288" spans="1:14" s="418" customFormat="1">
      <c r="A288" s="475"/>
      <c r="B288" s="446"/>
      <c r="C288" s="593" t="s">
        <v>620</v>
      </c>
      <c r="D288" s="589"/>
      <c r="E288" s="511">
        <f>E287*E281</f>
        <v>2573.44</v>
      </c>
      <c r="F288" s="512" t="s">
        <v>229</v>
      </c>
      <c r="G288" s="438"/>
      <c r="H288" s="416"/>
      <c r="I288" s="416"/>
      <c r="J288" s="416"/>
      <c r="K288" s="416"/>
      <c r="L288" s="416"/>
      <c r="M288" s="416"/>
      <c r="N288" s="416"/>
    </row>
    <row r="289" spans="1:14" s="418" customFormat="1">
      <c r="A289" s="475"/>
      <c r="B289" s="446"/>
      <c r="C289" s="437"/>
      <c r="D289" s="437"/>
      <c r="E289" s="437"/>
      <c r="F289" s="533"/>
      <c r="G289" s="438"/>
      <c r="H289" s="416"/>
      <c r="I289" s="416"/>
      <c r="J289" s="416"/>
      <c r="K289" s="416"/>
      <c r="L289" s="416"/>
      <c r="M289" s="416"/>
      <c r="N289" s="416"/>
    </row>
    <row r="290" spans="1:14" s="418" customFormat="1">
      <c r="A290" s="475"/>
      <c r="B290" s="446"/>
      <c r="C290" s="437"/>
      <c r="D290" s="522" t="s">
        <v>346</v>
      </c>
      <c r="E290" s="511">
        <f>E288</f>
        <v>2573.44</v>
      </c>
      <c r="F290" s="512" t="s">
        <v>229</v>
      </c>
      <c r="G290" s="438"/>
      <c r="H290" s="416"/>
      <c r="I290" s="416"/>
      <c r="J290" s="416"/>
      <c r="K290" s="416"/>
      <c r="L290" s="416"/>
      <c r="M290" s="416"/>
      <c r="N290" s="416"/>
    </row>
    <row r="291" spans="1:14" s="418" customFormat="1">
      <c r="A291" s="475"/>
      <c r="B291" s="446"/>
      <c r="C291" s="437"/>
      <c r="D291" s="525" t="s">
        <v>347</v>
      </c>
      <c r="E291" s="614">
        <f>E8*E290</f>
        <v>30881.279999999999</v>
      </c>
      <c r="F291" s="512" t="s">
        <v>229</v>
      </c>
      <c r="G291" s="438"/>
      <c r="H291" s="416"/>
      <c r="I291" s="416"/>
      <c r="J291" s="416"/>
      <c r="K291" s="416"/>
      <c r="L291" s="416"/>
      <c r="M291" s="416"/>
      <c r="N291" s="416"/>
    </row>
    <row r="292" spans="1:14" s="418" customFormat="1" hidden="1">
      <c r="A292" s="475"/>
      <c r="B292" s="446"/>
      <c r="C292" s="437"/>
      <c r="D292" s="437"/>
      <c r="E292" s="437"/>
      <c r="F292" s="533"/>
      <c r="G292" s="438"/>
      <c r="H292" s="416"/>
      <c r="I292" s="416"/>
      <c r="J292" s="416"/>
      <c r="K292" s="416"/>
      <c r="L292" s="416"/>
      <c r="M292" s="416"/>
      <c r="N292" s="416"/>
    </row>
    <row r="293" spans="1:14" s="418" customFormat="1" hidden="1">
      <c r="A293" s="475"/>
      <c r="B293" s="597" t="s">
        <v>348</v>
      </c>
      <c r="C293" s="437"/>
      <c r="D293" s="437"/>
      <c r="E293" s="437"/>
      <c r="F293" s="533"/>
      <c r="G293" s="438"/>
      <c r="H293" s="416"/>
      <c r="I293" s="416"/>
      <c r="J293" s="416"/>
      <c r="K293" s="416"/>
      <c r="L293" s="416"/>
      <c r="M293" s="416"/>
      <c r="N293" s="416"/>
    </row>
    <row r="294" spans="1:14" s="418" customFormat="1" hidden="1">
      <c r="A294" s="475"/>
      <c r="B294" s="612"/>
      <c r="C294" s="588" t="s">
        <v>325</v>
      </c>
      <c r="D294" s="589"/>
      <c r="E294" s="506">
        <v>0</v>
      </c>
      <c r="F294" s="512" t="s">
        <v>301</v>
      </c>
      <c r="G294" s="438"/>
      <c r="H294" s="416"/>
      <c r="I294" s="416"/>
      <c r="J294" s="416"/>
      <c r="K294" s="416"/>
      <c r="L294" s="416"/>
      <c r="M294" s="416"/>
      <c r="N294" s="416"/>
    </row>
    <row r="295" spans="1:14" s="418" customFormat="1" hidden="1">
      <c r="A295" s="475"/>
      <c r="B295" s="446"/>
      <c r="C295" s="593" t="s">
        <v>349</v>
      </c>
      <c r="D295" s="589"/>
      <c r="E295" s="620">
        <f>(('[1]DADOS DE ENTRADA'!H63+'[1]DADOS DE ENTRADA'!H64)/E8)*E294</f>
        <v>0</v>
      </c>
      <c r="F295" s="512" t="s">
        <v>229</v>
      </c>
      <c r="G295" s="621"/>
      <c r="H295" s="416"/>
      <c r="I295" s="416"/>
      <c r="J295" s="416"/>
      <c r="K295" s="416"/>
      <c r="L295" s="416"/>
      <c r="M295" s="416"/>
      <c r="N295" s="416"/>
    </row>
    <row r="296" spans="1:14" s="418" customFormat="1" hidden="1">
      <c r="A296" s="475"/>
      <c r="B296" s="446"/>
      <c r="C296" s="593" t="s">
        <v>350</v>
      </c>
      <c r="D296" s="589"/>
      <c r="E296" s="506">
        <f>'[1]DADOS DE ENTRADA'!H65+'[1]DADOS DE ENTRADA'!H70</f>
        <v>230</v>
      </c>
      <c r="F296" s="512" t="s">
        <v>229</v>
      </c>
      <c r="G296" s="438"/>
      <c r="H296" s="416"/>
      <c r="I296" s="416"/>
      <c r="J296" s="416"/>
      <c r="K296" s="416"/>
      <c r="L296" s="416"/>
      <c r="M296" s="416"/>
      <c r="N296" s="416"/>
    </row>
    <row r="297" spans="1:14" s="418" customFormat="1" hidden="1">
      <c r="A297" s="475"/>
      <c r="B297" s="446"/>
      <c r="C297" s="593" t="s">
        <v>338</v>
      </c>
      <c r="D297" s="589"/>
      <c r="E297" s="511">
        <f>(E294*E296)+E295</f>
        <v>0</v>
      </c>
      <c r="F297" s="512" t="s">
        <v>229</v>
      </c>
      <c r="G297" s="438"/>
      <c r="H297" s="416"/>
      <c r="I297" s="416"/>
      <c r="J297" s="416"/>
      <c r="K297" s="416"/>
      <c r="L297" s="416"/>
      <c r="M297" s="416"/>
      <c r="N297" s="416"/>
    </row>
    <row r="298" spans="1:14" s="418" customFormat="1" hidden="1">
      <c r="A298" s="475"/>
      <c r="B298" s="446"/>
      <c r="C298" s="437"/>
      <c r="D298" s="437"/>
      <c r="E298" s="437"/>
      <c r="F298" s="533"/>
      <c r="G298" s="438"/>
      <c r="H298" s="416"/>
      <c r="I298" s="416"/>
      <c r="J298" s="416"/>
      <c r="K298" s="416"/>
      <c r="L298" s="416"/>
      <c r="M298" s="416"/>
      <c r="N298" s="416"/>
    </row>
    <row r="299" spans="1:14" s="418" customFormat="1" hidden="1">
      <c r="A299" s="475"/>
      <c r="B299" s="446"/>
      <c r="C299" s="437"/>
      <c r="D299" s="522" t="s">
        <v>351</v>
      </c>
      <c r="E299" s="511">
        <f>E297</f>
        <v>0</v>
      </c>
      <c r="F299" s="512" t="s">
        <v>229</v>
      </c>
      <c r="G299" s="438"/>
      <c r="H299" s="416"/>
      <c r="I299" s="416"/>
      <c r="J299" s="416"/>
      <c r="K299" s="416"/>
      <c r="L299" s="416"/>
      <c r="M299" s="416"/>
      <c r="N299" s="416"/>
    </row>
    <row r="300" spans="1:14" s="418" customFormat="1" hidden="1">
      <c r="A300" s="475"/>
      <c r="B300" s="446"/>
      <c r="C300" s="437"/>
      <c r="D300" s="525" t="s">
        <v>352</v>
      </c>
      <c r="E300" s="614">
        <f>E299*E8</f>
        <v>0</v>
      </c>
      <c r="F300" s="512" t="s">
        <v>229</v>
      </c>
      <c r="G300" s="621"/>
      <c r="H300" s="416"/>
      <c r="I300" s="416"/>
      <c r="J300" s="416"/>
      <c r="K300" s="416"/>
      <c r="L300" s="416"/>
      <c r="M300" s="416"/>
      <c r="N300" s="416"/>
    </row>
    <row r="301" spans="1:14" s="418" customFormat="1">
      <c r="A301" s="475"/>
      <c r="B301" s="446"/>
      <c r="C301" s="437"/>
      <c r="D301" s="437"/>
      <c r="E301" s="437"/>
      <c r="F301" s="533"/>
      <c r="G301" s="438"/>
      <c r="H301" s="416"/>
      <c r="I301" s="416"/>
      <c r="J301" s="416"/>
      <c r="K301" s="416"/>
      <c r="L301" s="416"/>
      <c r="M301" s="416"/>
      <c r="N301" s="416"/>
    </row>
    <row r="302" spans="1:14" s="418" customFormat="1">
      <c r="A302" s="532"/>
      <c r="B302" s="446"/>
      <c r="C302" s="434" t="s">
        <v>353</v>
      </c>
      <c r="D302" s="509"/>
      <c r="E302" s="437"/>
      <c r="F302" s="533"/>
      <c r="G302" s="438"/>
      <c r="H302" s="416"/>
      <c r="I302" s="416"/>
      <c r="J302" s="416"/>
      <c r="K302" s="416"/>
      <c r="L302" s="416"/>
      <c r="M302" s="416"/>
      <c r="N302" s="416"/>
    </row>
    <row r="303" spans="1:14" s="418" customFormat="1">
      <c r="A303" s="475"/>
      <c r="B303" s="587"/>
      <c r="C303" s="435"/>
      <c r="D303" s="622" t="s">
        <v>566</v>
      </c>
      <c r="E303" s="520">
        <f>+E238+E255+E276+E290+E299</f>
        <v>6921.9102399999992</v>
      </c>
      <c r="F303" s="512" t="s">
        <v>229</v>
      </c>
      <c r="G303" s="438"/>
      <c r="H303" s="416"/>
      <c r="I303" s="416"/>
      <c r="J303" s="416"/>
      <c r="K303" s="416"/>
      <c r="L303" s="416"/>
      <c r="M303" s="416"/>
      <c r="N303" s="416"/>
    </row>
    <row r="304" spans="1:14" s="418" customFormat="1" ht="12" thickBot="1">
      <c r="A304" s="475"/>
      <c r="B304" s="623"/>
      <c r="C304" s="458"/>
      <c r="D304" s="624" t="s">
        <v>355</v>
      </c>
      <c r="E304" s="520">
        <f>E8*E303</f>
        <v>83062.922879999998</v>
      </c>
      <c r="F304" s="625" t="s">
        <v>229</v>
      </c>
      <c r="G304" s="462"/>
      <c r="H304" s="416"/>
      <c r="I304" s="416"/>
      <c r="J304" s="416"/>
      <c r="K304" s="416"/>
      <c r="L304" s="416"/>
      <c r="M304" s="416"/>
      <c r="N304" s="416"/>
    </row>
    <row r="305" spans="1:14" s="418" customFormat="1">
      <c r="A305" s="417"/>
      <c r="B305" s="420"/>
      <c r="D305" s="626"/>
      <c r="F305" s="552"/>
      <c r="G305" s="426"/>
      <c r="H305" s="416"/>
      <c r="I305" s="416"/>
      <c r="J305" s="416"/>
      <c r="K305" s="416"/>
      <c r="L305" s="416"/>
      <c r="M305" s="416"/>
      <c r="N305" s="416"/>
    </row>
    <row r="306" spans="1:14" s="418" customFormat="1">
      <c r="A306" s="844" t="s">
        <v>356</v>
      </c>
      <c r="B306" s="842"/>
      <c r="C306" s="842"/>
      <c r="D306" s="842"/>
      <c r="E306" s="842"/>
      <c r="F306" s="842"/>
      <c r="G306" s="843"/>
      <c r="H306" s="416"/>
      <c r="I306" s="416"/>
      <c r="J306" s="416"/>
      <c r="K306" s="416"/>
      <c r="L306" s="416"/>
      <c r="M306" s="416"/>
      <c r="N306" s="416"/>
    </row>
    <row r="307" spans="1:14" s="418" customFormat="1" ht="12" thickBot="1">
      <c r="A307" s="417"/>
      <c r="G307" s="426"/>
      <c r="H307" s="416"/>
      <c r="I307" s="416"/>
      <c r="J307" s="416"/>
      <c r="K307" s="416"/>
      <c r="L307" s="416"/>
      <c r="M307" s="416"/>
      <c r="N307" s="416"/>
    </row>
    <row r="308" spans="1:14" s="418" customFormat="1">
      <c r="A308" s="475"/>
      <c r="B308" s="583" t="s">
        <v>357</v>
      </c>
      <c r="C308" s="431"/>
      <c r="D308" s="431"/>
      <c r="E308" s="431"/>
      <c r="F308" s="584"/>
      <c r="G308" s="432"/>
      <c r="H308" s="416"/>
      <c r="I308" s="416"/>
      <c r="J308" s="416"/>
      <c r="K308" s="416"/>
      <c r="L308" s="416"/>
      <c r="M308" s="416"/>
      <c r="N308" s="416"/>
    </row>
    <row r="309" spans="1:14" s="418" customFormat="1">
      <c r="A309" s="475"/>
      <c r="B309" s="446"/>
      <c r="C309" s="437"/>
      <c r="D309" s="437"/>
      <c r="E309" s="437"/>
      <c r="F309" s="533"/>
      <c r="G309" s="438"/>
      <c r="H309" s="416"/>
      <c r="I309" s="416"/>
      <c r="J309" s="416"/>
      <c r="K309" s="416"/>
      <c r="L309" s="416"/>
      <c r="M309" s="416"/>
      <c r="N309" s="416"/>
    </row>
    <row r="310" spans="1:14" s="418" customFormat="1">
      <c r="A310" s="475"/>
      <c r="B310" s="446"/>
      <c r="C310" s="588" t="s">
        <v>616</v>
      </c>
      <c r="D310" s="589"/>
      <c r="E310" s="506">
        <v>2</v>
      </c>
      <c r="F310" s="533"/>
      <c r="G310" s="438"/>
      <c r="H310" s="416"/>
      <c r="I310" s="416"/>
      <c r="J310" s="416"/>
      <c r="K310" s="416"/>
      <c r="L310" s="416"/>
      <c r="M310" s="416"/>
      <c r="N310" s="416"/>
    </row>
    <row r="311" spans="1:14" s="418" customFormat="1">
      <c r="A311" s="475"/>
      <c r="B311" s="446"/>
      <c r="C311" s="627" t="s">
        <v>487</v>
      </c>
      <c r="D311" s="589"/>
      <c r="E311" s="628">
        <v>6.59</v>
      </c>
      <c r="F311" s="512" t="s">
        <v>359</v>
      </c>
      <c r="G311" s="438"/>
      <c r="H311" s="416"/>
      <c r="I311" s="416"/>
      <c r="J311" s="416"/>
      <c r="K311" s="416"/>
      <c r="L311" s="416"/>
      <c r="M311" s="416"/>
      <c r="N311" s="416"/>
    </row>
    <row r="312" spans="1:14" s="418" customFormat="1">
      <c r="A312" s="475"/>
      <c r="B312" s="446"/>
      <c r="C312" s="588" t="s">
        <v>360</v>
      </c>
      <c r="D312" s="589"/>
      <c r="E312" s="629">
        <v>1500</v>
      </c>
      <c r="F312" s="512" t="s">
        <v>361</v>
      </c>
      <c r="G312" s="438"/>
      <c r="H312" s="416"/>
      <c r="I312" s="416"/>
      <c r="J312" s="416"/>
      <c r="K312" s="416"/>
      <c r="L312" s="416"/>
      <c r="M312" s="416"/>
      <c r="N312" s="416"/>
    </row>
    <row r="313" spans="1:14">
      <c r="A313" s="475"/>
      <c r="B313" s="446"/>
      <c r="C313" s="627" t="s">
        <v>462</v>
      </c>
      <c r="D313" s="589"/>
      <c r="E313" s="506">
        <v>10</v>
      </c>
      <c r="F313" s="512" t="s">
        <v>363</v>
      </c>
      <c r="G313" s="438"/>
    </row>
    <row r="314" spans="1:14">
      <c r="A314" s="475"/>
      <c r="B314" s="446"/>
      <c r="C314" s="593" t="s">
        <v>337</v>
      </c>
      <c r="D314" s="522"/>
      <c r="E314" s="520">
        <f>(E311*E312)/E313</f>
        <v>988.5</v>
      </c>
      <c r="F314" s="512" t="s">
        <v>229</v>
      </c>
      <c r="G314" s="438"/>
    </row>
    <row r="315" spans="1:14">
      <c r="A315" s="475"/>
      <c r="B315" s="446"/>
      <c r="C315" s="627" t="s">
        <v>364</v>
      </c>
      <c r="D315" s="522"/>
      <c r="E315" s="520">
        <f>E310*E314</f>
        <v>1977</v>
      </c>
      <c r="F315" s="512" t="s">
        <v>229</v>
      </c>
      <c r="G315" s="438"/>
    </row>
    <row r="316" spans="1:14">
      <c r="A316" s="475"/>
      <c r="B316" s="446"/>
      <c r="C316" s="437"/>
      <c r="D316" s="437"/>
      <c r="E316" s="437"/>
      <c r="F316" s="533"/>
      <c r="G316" s="438"/>
    </row>
    <row r="317" spans="1:14">
      <c r="A317" s="475"/>
      <c r="B317" s="446"/>
      <c r="C317" s="437"/>
      <c r="D317" s="522" t="s">
        <v>365</v>
      </c>
      <c r="E317" s="511">
        <f>E315</f>
        <v>1977</v>
      </c>
      <c r="F317" s="533"/>
      <c r="G317" s="438"/>
    </row>
    <row r="318" spans="1:14">
      <c r="A318" s="475"/>
      <c r="B318" s="446"/>
      <c r="C318" s="437"/>
      <c r="D318" s="525" t="s">
        <v>366</v>
      </c>
      <c r="E318" s="511">
        <f>E8*E317</f>
        <v>23724</v>
      </c>
      <c r="F318" s="533"/>
      <c r="G318" s="438"/>
    </row>
    <row r="319" spans="1:14">
      <c r="A319" s="530"/>
      <c r="B319" s="446"/>
      <c r="C319" s="437"/>
      <c r="D319" s="533"/>
      <c r="E319" s="630"/>
      <c r="F319" s="568"/>
      <c r="G319" s="438"/>
    </row>
    <row r="320" spans="1:14">
      <c r="A320" s="475"/>
      <c r="B320" s="597" t="s">
        <v>621</v>
      </c>
      <c r="C320" s="437"/>
      <c r="D320" s="437"/>
      <c r="E320" s="437"/>
      <c r="F320" s="533"/>
      <c r="G320" s="438"/>
    </row>
    <row r="321" spans="1:14">
      <c r="A321" s="417"/>
      <c r="B321" s="845" t="s">
        <v>463</v>
      </c>
      <c r="C321" s="846"/>
      <c r="D321" s="847"/>
      <c r="E321" s="586">
        <v>0.1</v>
      </c>
      <c r="F321" s="533"/>
      <c r="G321" s="438"/>
    </row>
    <row r="322" spans="1:14">
      <c r="A322" s="417"/>
      <c r="B322" s="598"/>
      <c r="C322" s="437"/>
      <c r="D322" s="437"/>
      <c r="E322" s="512"/>
      <c r="F322" s="533"/>
      <c r="G322" s="438"/>
    </row>
    <row r="323" spans="1:14" ht="12.75" customHeight="1">
      <c r="A323" s="417"/>
      <c r="B323" s="598"/>
      <c r="C323" s="588" t="s">
        <v>610</v>
      </c>
      <c r="D323" s="514"/>
      <c r="E323" s="506">
        <f>E310</f>
        <v>2</v>
      </c>
      <c r="F323" s="512"/>
      <c r="G323" s="438"/>
    </row>
    <row r="324" spans="1:14" ht="12.75" customHeight="1">
      <c r="A324" s="417"/>
      <c r="B324" s="598"/>
      <c r="C324" s="593" t="s">
        <v>337</v>
      </c>
      <c r="D324" s="514"/>
      <c r="E324" s="511">
        <f>E321*E290</f>
        <v>257.34399999999999</v>
      </c>
      <c r="F324" s="512"/>
      <c r="G324" s="438"/>
    </row>
    <row r="325" spans="1:14" ht="12.75" customHeight="1">
      <c r="A325" s="417"/>
      <c r="B325" s="598"/>
      <c r="C325" s="627" t="s">
        <v>364</v>
      </c>
      <c r="D325" s="514"/>
      <c r="E325" s="511">
        <f>E324*E323</f>
        <v>514.68799999999999</v>
      </c>
      <c r="F325" s="512"/>
      <c r="G325" s="438"/>
    </row>
    <row r="326" spans="1:14" ht="12.75" customHeight="1">
      <c r="A326" s="417"/>
      <c r="B326" s="598"/>
      <c r="C326" s="437"/>
      <c r="D326" s="437"/>
      <c r="E326" s="512"/>
      <c r="F326" s="533"/>
      <c r="G326" s="438"/>
    </row>
    <row r="327" spans="1:14" ht="12.75" customHeight="1">
      <c r="A327" s="417"/>
      <c r="B327" s="598"/>
      <c r="C327" s="627" t="s">
        <v>368</v>
      </c>
      <c r="D327" s="514"/>
      <c r="E327" s="168">
        <v>5.5</v>
      </c>
      <c r="F327" s="512" t="s">
        <v>369</v>
      </c>
      <c r="G327" s="438"/>
    </row>
    <row r="328" spans="1:14" ht="12.75" customHeight="1">
      <c r="A328" s="417"/>
      <c r="B328" s="598"/>
      <c r="C328" s="627" t="s">
        <v>370</v>
      </c>
      <c r="D328" s="514"/>
      <c r="E328" s="399">
        <v>2.5</v>
      </c>
      <c r="F328" s="512" t="s">
        <v>369</v>
      </c>
      <c r="G328" s="438"/>
    </row>
    <row r="329" spans="1:14" s="418" customFormat="1" ht="12.75" customHeight="1">
      <c r="A329" s="417"/>
      <c r="B329" s="598"/>
      <c r="C329" s="627" t="s">
        <v>371</v>
      </c>
      <c r="D329" s="514"/>
      <c r="E329" s="168">
        <v>1.5</v>
      </c>
      <c r="F329" s="512" t="s">
        <v>369</v>
      </c>
      <c r="G329" s="438"/>
      <c r="H329" s="416"/>
      <c r="I329" s="416"/>
      <c r="J329" s="416"/>
      <c r="K329" s="416"/>
      <c r="L329" s="416"/>
      <c r="M329" s="416"/>
      <c r="N329" s="416"/>
    </row>
    <row r="330" spans="1:14" s="418" customFormat="1" ht="12.75" customHeight="1">
      <c r="A330" s="417"/>
      <c r="B330" s="598"/>
      <c r="C330" s="627" t="s">
        <v>372</v>
      </c>
      <c r="D330" s="514"/>
      <c r="E330" s="399">
        <v>1</v>
      </c>
      <c r="F330" s="512" t="s">
        <v>373</v>
      </c>
      <c r="G330" s="438"/>
      <c r="H330" s="416"/>
      <c r="I330" s="416"/>
      <c r="J330" s="416"/>
      <c r="K330" s="416"/>
      <c r="L330" s="416"/>
      <c r="M330" s="416"/>
      <c r="N330" s="416"/>
    </row>
    <row r="331" spans="1:14" s="418" customFormat="1" ht="12.75" customHeight="1">
      <c r="A331" s="417"/>
      <c r="B331" s="598"/>
      <c r="C331" s="588" t="s">
        <v>374</v>
      </c>
      <c r="D331" s="514"/>
      <c r="E331" s="619">
        <v>10000</v>
      </c>
      <c r="F331" s="512" t="s">
        <v>361</v>
      </c>
      <c r="G331" s="438"/>
      <c r="H331" s="416"/>
      <c r="I331" s="416"/>
      <c r="J331" s="416"/>
      <c r="K331" s="416"/>
      <c r="L331" s="416"/>
      <c r="M331" s="416"/>
      <c r="N331" s="416"/>
    </row>
    <row r="332" spans="1:14" s="418" customFormat="1" ht="12.75" customHeight="1">
      <c r="A332" s="417"/>
      <c r="B332" s="598"/>
      <c r="C332" s="627" t="s">
        <v>375</v>
      </c>
      <c r="D332" s="514"/>
      <c r="E332" s="631">
        <f>+E327/E331</f>
        <v>5.5000000000000003E-4</v>
      </c>
      <c r="F332" s="512" t="s">
        <v>376</v>
      </c>
      <c r="G332" s="438"/>
      <c r="H332" s="416"/>
      <c r="I332" s="416"/>
      <c r="J332" s="416"/>
      <c r="K332" s="416"/>
      <c r="L332" s="416"/>
      <c r="M332" s="416"/>
      <c r="N332" s="416"/>
    </row>
    <row r="333" spans="1:14" s="418" customFormat="1" ht="12.75" customHeight="1">
      <c r="A333" s="417"/>
      <c r="B333" s="598"/>
      <c r="C333" s="627" t="s">
        <v>377</v>
      </c>
      <c r="D333" s="514"/>
      <c r="E333" s="631">
        <f>+E328/E331</f>
        <v>2.5000000000000001E-4</v>
      </c>
      <c r="F333" s="512" t="s">
        <v>376</v>
      </c>
      <c r="G333" s="438"/>
      <c r="H333" s="416"/>
      <c r="I333" s="416"/>
      <c r="J333" s="416"/>
      <c r="K333" s="416"/>
      <c r="L333" s="416"/>
      <c r="M333" s="416"/>
      <c r="N333" s="416"/>
    </row>
    <row r="334" spans="1:14" s="418" customFormat="1" ht="12.75" customHeight="1">
      <c r="A334" s="417"/>
      <c r="B334" s="598"/>
      <c r="C334" s="627" t="s">
        <v>378</v>
      </c>
      <c r="D334" s="514"/>
      <c r="E334" s="631">
        <f>+E329/E331</f>
        <v>1.4999999999999999E-4</v>
      </c>
      <c r="F334" s="512" t="s">
        <v>376</v>
      </c>
      <c r="G334" s="438"/>
      <c r="H334" s="416"/>
      <c r="I334" s="416"/>
      <c r="J334" s="416"/>
      <c r="K334" s="416"/>
      <c r="L334" s="416"/>
      <c r="M334" s="416"/>
      <c r="N334" s="416"/>
    </row>
    <row r="335" spans="1:14" s="418" customFormat="1" ht="12.75" customHeight="1">
      <c r="A335" s="417"/>
      <c r="B335" s="598"/>
      <c r="C335" s="627" t="s">
        <v>379</v>
      </c>
      <c r="D335" s="514"/>
      <c r="E335" s="631">
        <f>+E330/E331</f>
        <v>1E-4</v>
      </c>
      <c r="F335" s="618" t="s">
        <v>380</v>
      </c>
      <c r="G335" s="438"/>
      <c r="H335" s="416"/>
      <c r="I335" s="416"/>
      <c r="J335" s="416"/>
      <c r="K335" s="416"/>
      <c r="L335" s="416"/>
      <c r="M335" s="416"/>
      <c r="N335" s="416"/>
    </row>
    <row r="336" spans="1:14" s="418" customFormat="1" ht="12.75" customHeight="1">
      <c r="A336" s="417"/>
      <c r="B336" s="598"/>
      <c r="C336" s="627" t="s">
        <v>381</v>
      </c>
      <c r="D336" s="632"/>
      <c r="E336" s="168">
        <v>21.41</v>
      </c>
      <c r="F336" s="512" t="s">
        <v>359</v>
      </c>
      <c r="G336" s="438"/>
      <c r="H336" s="416"/>
      <c r="I336" s="416"/>
      <c r="J336" s="416"/>
      <c r="K336" s="416"/>
      <c r="L336" s="416"/>
      <c r="M336" s="416"/>
      <c r="N336" s="416"/>
    </row>
    <row r="337" spans="1:14" s="418" customFormat="1" ht="12.75" customHeight="1">
      <c r="A337" s="417"/>
      <c r="B337" s="598"/>
      <c r="C337" s="627" t="s">
        <v>382</v>
      </c>
      <c r="D337" s="632"/>
      <c r="E337" s="168">
        <v>19.399999999999999</v>
      </c>
      <c r="F337" s="512" t="s">
        <v>359</v>
      </c>
      <c r="G337" s="438"/>
      <c r="H337" s="416"/>
      <c r="I337" s="416"/>
      <c r="J337" s="416"/>
      <c r="K337" s="416"/>
      <c r="L337" s="416"/>
      <c r="M337" s="416"/>
      <c r="N337" s="416"/>
    </row>
    <row r="338" spans="1:14" s="418" customFormat="1" ht="12.75" customHeight="1">
      <c r="A338" s="417"/>
      <c r="B338" s="598"/>
      <c r="C338" s="627" t="s">
        <v>383</v>
      </c>
      <c r="D338" s="632"/>
      <c r="E338" s="168">
        <v>17.91</v>
      </c>
      <c r="F338" s="512" t="s">
        <v>359</v>
      </c>
      <c r="G338" s="438"/>
      <c r="H338" s="416"/>
      <c r="I338" s="416"/>
      <c r="J338" s="416"/>
      <c r="K338" s="416"/>
      <c r="L338" s="416"/>
      <c r="M338" s="416"/>
      <c r="N338" s="416"/>
    </row>
    <row r="339" spans="1:14" s="418" customFormat="1" ht="12.75" customHeight="1">
      <c r="A339" s="417"/>
      <c r="B339" s="598"/>
      <c r="C339" s="627" t="s">
        <v>384</v>
      </c>
      <c r="D339" s="632"/>
      <c r="E339" s="168">
        <v>25.8</v>
      </c>
      <c r="F339" s="512" t="s">
        <v>385</v>
      </c>
      <c r="G339" s="438"/>
      <c r="H339" s="416"/>
      <c r="I339" s="416"/>
      <c r="J339" s="416"/>
      <c r="K339" s="416"/>
      <c r="L339" s="416"/>
      <c r="M339" s="416"/>
      <c r="N339" s="416"/>
    </row>
    <row r="340" spans="1:14" s="418" customFormat="1" ht="12.75" customHeight="1">
      <c r="A340" s="417"/>
      <c r="B340" s="598"/>
      <c r="C340" s="627" t="s">
        <v>386</v>
      </c>
      <c r="D340" s="514"/>
      <c r="E340" s="609">
        <f>+(E332*E336)+(E333*E337)+(E334*E338)+(E335*E339)</f>
        <v>2.1892000000000002E-2</v>
      </c>
      <c r="F340" s="618" t="s">
        <v>387</v>
      </c>
      <c r="G340" s="438"/>
      <c r="H340" s="416"/>
      <c r="I340" s="416"/>
      <c r="J340" s="416"/>
      <c r="K340" s="416"/>
      <c r="L340" s="416"/>
      <c r="M340" s="416"/>
      <c r="N340" s="416"/>
    </row>
    <row r="341" spans="1:14" s="418" customFormat="1" ht="12.75" customHeight="1">
      <c r="A341" s="475"/>
      <c r="B341" s="587"/>
      <c r="C341" s="588" t="s">
        <v>360</v>
      </c>
      <c r="D341" s="451"/>
      <c r="E341" s="629">
        <f>E312</f>
        <v>1500</v>
      </c>
      <c r="F341" s="512" t="s">
        <v>361</v>
      </c>
      <c r="G341" s="438"/>
      <c r="H341" s="416"/>
      <c r="I341" s="416"/>
      <c r="J341" s="416"/>
      <c r="K341" s="416"/>
      <c r="L341" s="416"/>
      <c r="M341" s="416"/>
      <c r="N341" s="416"/>
    </row>
    <row r="342" spans="1:14" s="418" customFormat="1" ht="12.75" customHeight="1">
      <c r="A342" s="475"/>
      <c r="B342" s="587"/>
      <c r="C342" s="627" t="s">
        <v>388</v>
      </c>
      <c r="D342" s="514"/>
      <c r="E342" s="520">
        <f>ROUND(+E340*E341,2)</f>
        <v>32.840000000000003</v>
      </c>
      <c r="F342" s="512" t="s">
        <v>229</v>
      </c>
      <c r="G342" s="438"/>
      <c r="H342" s="416"/>
      <c r="I342" s="416"/>
      <c r="J342" s="416"/>
      <c r="K342" s="416"/>
      <c r="L342" s="416"/>
      <c r="M342" s="416"/>
      <c r="N342" s="416"/>
    </row>
    <row r="343" spans="1:14" s="418" customFormat="1" ht="12.75" customHeight="1">
      <c r="A343" s="475"/>
      <c r="B343" s="587"/>
      <c r="C343" s="627" t="s">
        <v>389</v>
      </c>
      <c r="D343" s="451"/>
      <c r="E343" s="619">
        <v>10</v>
      </c>
      <c r="F343" s="512" t="s">
        <v>390</v>
      </c>
      <c r="G343" s="438"/>
      <c r="H343" s="416"/>
      <c r="I343" s="416"/>
      <c r="J343" s="416"/>
      <c r="K343" s="416"/>
      <c r="L343" s="416"/>
      <c r="M343" s="416"/>
      <c r="N343" s="416"/>
    </row>
    <row r="344" spans="1:14" s="418" customFormat="1" ht="12" customHeight="1">
      <c r="A344" s="475"/>
      <c r="B344" s="587"/>
      <c r="C344" s="588" t="s">
        <v>391</v>
      </c>
      <c r="D344" s="451"/>
      <c r="E344" s="520">
        <f>ROUND(+E342*E343/100,2)</f>
        <v>3.28</v>
      </c>
      <c r="F344" s="512" t="s">
        <v>229</v>
      </c>
      <c r="G344" s="438"/>
      <c r="H344" s="416"/>
      <c r="I344" s="416"/>
      <c r="J344" s="416"/>
      <c r="K344" s="416"/>
      <c r="L344" s="416"/>
      <c r="M344" s="416"/>
      <c r="N344" s="416"/>
    </row>
    <row r="345" spans="1:14" s="418" customFormat="1">
      <c r="A345" s="475"/>
      <c r="B345" s="587"/>
      <c r="C345" s="588" t="s">
        <v>392</v>
      </c>
      <c r="D345" s="451"/>
      <c r="E345" s="520">
        <f>E342+E344</f>
        <v>36.120000000000005</v>
      </c>
      <c r="F345" s="512"/>
      <c r="G345" s="438"/>
      <c r="H345" s="416"/>
      <c r="I345" s="416"/>
      <c r="J345" s="416"/>
      <c r="K345" s="416"/>
      <c r="L345" s="416"/>
      <c r="M345" s="416"/>
      <c r="N345" s="416"/>
    </row>
    <row r="346" spans="1:14" s="418" customFormat="1">
      <c r="A346" s="475"/>
      <c r="B346" s="587"/>
      <c r="C346" s="627" t="s">
        <v>364</v>
      </c>
      <c r="D346" s="451"/>
      <c r="E346" s="511">
        <f>E345*E323</f>
        <v>72.240000000000009</v>
      </c>
      <c r="F346" s="512"/>
      <c r="G346" s="438"/>
      <c r="H346" s="416"/>
      <c r="I346" s="416"/>
      <c r="J346" s="416"/>
      <c r="K346" s="416"/>
      <c r="L346" s="416"/>
      <c r="M346" s="416"/>
      <c r="N346" s="416"/>
    </row>
    <row r="347" spans="1:14" s="418" customFormat="1">
      <c r="A347" s="475"/>
      <c r="B347" s="587"/>
      <c r="C347" s="588"/>
      <c r="D347" s="451"/>
      <c r="E347" s="451"/>
      <c r="F347" s="512"/>
      <c r="G347" s="438"/>
      <c r="H347" s="416"/>
      <c r="I347" s="416"/>
      <c r="J347" s="416"/>
      <c r="K347" s="416"/>
      <c r="L347" s="416"/>
      <c r="M347" s="416"/>
      <c r="N347" s="416"/>
    </row>
    <row r="348" spans="1:14" s="418" customFormat="1">
      <c r="A348" s="475"/>
      <c r="B348" s="587"/>
      <c r="C348" s="437"/>
      <c r="D348" s="522" t="s">
        <v>393</v>
      </c>
      <c r="E348" s="511">
        <f>E324+E346</f>
        <v>329.584</v>
      </c>
      <c r="F348" s="512" t="s">
        <v>229</v>
      </c>
      <c r="G348" s="438"/>
      <c r="H348" s="416"/>
      <c r="I348" s="416"/>
      <c r="J348" s="416"/>
      <c r="K348" s="416"/>
      <c r="L348" s="416"/>
      <c r="M348" s="416"/>
      <c r="N348" s="416"/>
    </row>
    <row r="349" spans="1:14" s="418" customFormat="1">
      <c r="A349" s="475"/>
      <c r="B349" s="587"/>
      <c r="C349" s="437"/>
      <c r="D349" s="525" t="s">
        <v>394</v>
      </c>
      <c r="E349" s="511">
        <f>E8*E348</f>
        <v>3955.0079999999998</v>
      </c>
      <c r="F349" s="512" t="s">
        <v>229</v>
      </c>
      <c r="G349" s="438"/>
      <c r="H349" s="416"/>
      <c r="I349" s="416"/>
      <c r="J349" s="416"/>
      <c r="K349" s="416"/>
      <c r="L349" s="416"/>
      <c r="M349" s="416"/>
      <c r="N349" s="416"/>
    </row>
    <row r="350" spans="1:14" s="418" customFormat="1">
      <c r="A350" s="475"/>
      <c r="B350" s="587"/>
      <c r="C350" s="437"/>
      <c r="D350" s="437"/>
      <c r="E350" s="437"/>
      <c r="F350" s="533"/>
      <c r="G350" s="438"/>
      <c r="H350" s="416"/>
      <c r="I350" s="416"/>
      <c r="J350" s="416"/>
      <c r="K350" s="416"/>
      <c r="L350" s="416"/>
      <c r="M350" s="416"/>
      <c r="N350" s="416"/>
    </row>
    <row r="351" spans="1:14" s="418" customFormat="1">
      <c r="A351" s="443"/>
      <c r="B351" s="598"/>
      <c r="C351" s="434" t="s">
        <v>395</v>
      </c>
      <c r="D351" s="633"/>
      <c r="E351" s="509"/>
      <c r="F351" s="512"/>
      <c r="G351" s="438"/>
      <c r="H351" s="416"/>
      <c r="I351" s="416"/>
      <c r="J351" s="416"/>
      <c r="K351" s="416"/>
      <c r="L351" s="416"/>
      <c r="M351" s="416"/>
      <c r="N351" s="416"/>
    </row>
    <row r="352" spans="1:14" s="418" customFormat="1">
      <c r="A352" s="443"/>
      <c r="B352" s="598"/>
      <c r="C352" s="634"/>
      <c r="D352" s="525" t="s">
        <v>622</v>
      </c>
      <c r="E352" s="520">
        <f>E317+E348</f>
        <v>2306.5839999999998</v>
      </c>
      <c r="F352" s="512" t="s">
        <v>229</v>
      </c>
      <c r="G352" s="438"/>
      <c r="H352" s="416"/>
      <c r="I352" s="416"/>
      <c r="J352" s="416"/>
      <c r="K352" s="416"/>
      <c r="L352" s="416"/>
      <c r="M352" s="416"/>
      <c r="N352" s="416"/>
    </row>
    <row r="353" spans="1:14" s="418" customFormat="1">
      <c r="A353" s="417"/>
      <c r="B353" s="446"/>
      <c r="C353" s="635"/>
      <c r="D353" s="525" t="s">
        <v>355</v>
      </c>
      <c r="E353" s="520">
        <f>E8*E352</f>
        <v>27679.007999999998</v>
      </c>
      <c r="F353" s="512" t="s">
        <v>229</v>
      </c>
      <c r="G353" s="438"/>
      <c r="H353" s="416"/>
      <c r="I353" s="416"/>
      <c r="J353" s="416"/>
      <c r="K353" s="416"/>
      <c r="L353" s="416"/>
      <c r="M353" s="416"/>
      <c r="N353" s="416"/>
    </row>
    <row r="354" spans="1:14" s="418" customFormat="1" ht="12" thickBot="1">
      <c r="A354" s="475"/>
      <c r="B354" s="580"/>
      <c r="C354" s="469"/>
      <c r="D354" s="469"/>
      <c r="E354" s="581"/>
      <c r="F354" s="582"/>
      <c r="G354" s="462"/>
      <c r="H354" s="416"/>
      <c r="I354" s="416"/>
      <c r="J354" s="416"/>
      <c r="K354" s="416"/>
      <c r="L354" s="416"/>
      <c r="M354" s="416"/>
      <c r="N354" s="416"/>
    </row>
    <row r="355" spans="1:14" s="418" customFormat="1" ht="12" thickBot="1">
      <c r="A355" s="475"/>
      <c r="B355" s="513"/>
      <c r="C355" s="437"/>
      <c r="D355" s="437"/>
      <c r="E355" s="533"/>
      <c r="F355" s="515"/>
      <c r="G355" s="438"/>
      <c r="H355" s="416"/>
      <c r="I355" s="416"/>
      <c r="J355" s="416"/>
      <c r="K355" s="416"/>
      <c r="L355" s="416"/>
      <c r="M355" s="416"/>
      <c r="N355" s="416"/>
    </row>
    <row r="356" spans="1:14" s="418" customFormat="1">
      <c r="A356" s="475"/>
      <c r="B356" s="513"/>
      <c r="C356" s="539"/>
      <c r="D356" s="540"/>
      <c r="E356" s="540"/>
      <c r="F356" s="541"/>
      <c r="G356" s="438"/>
      <c r="H356" s="416"/>
      <c r="I356" s="416"/>
      <c r="J356" s="416"/>
      <c r="K356" s="416"/>
      <c r="L356" s="416"/>
      <c r="M356" s="416"/>
      <c r="N356" s="416"/>
    </row>
    <row r="357" spans="1:14" s="418" customFormat="1">
      <c r="A357" s="475"/>
      <c r="B357" s="513"/>
      <c r="C357" s="542" t="s">
        <v>396</v>
      </c>
      <c r="D357" s="543"/>
      <c r="E357" s="511">
        <f>E303+E352</f>
        <v>9228.49424</v>
      </c>
      <c r="F357" s="544" t="s">
        <v>229</v>
      </c>
      <c r="G357" s="438"/>
      <c r="H357" s="416"/>
      <c r="I357" s="416"/>
      <c r="J357" s="416"/>
      <c r="K357" s="416"/>
      <c r="L357" s="416"/>
      <c r="M357" s="416"/>
      <c r="N357" s="416"/>
    </row>
    <row r="358" spans="1:14" s="418" customFormat="1">
      <c r="A358" s="475"/>
      <c r="B358" s="513"/>
      <c r="C358" s="545" t="s">
        <v>397</v>
      </c>
      <c r="D358" s="543"/>
      <c r="E358" s="543"/>
      <c r="F358" s="546"/>
      <c r="G358" s="438"/>
      <c r="H358" s="416"/>
      <c r="I358" s="416"/>
      <c r="J358" s="416"/>
      <c r="K358" s="416"/>
      <c r="L358" s="416"/>
      <c r="M358" s="416"/>
      <c r="N358" s="416"/>
    </row>
    <row r="359" spans="1:14" s="418" customFormat="1">
      <c r="A359" s="475"/>
      <c r="B359" s="513"/>
      <c r="C359" s="542" t="s">
        <v>398</v>
      </c>
      <c r="D359" s="543"/>
      <c r="E359" s="511">
        <f>E357*E8</f>
        <v>110741.93088</v>
      </c>
      <c r="F359" s="544" t="s">
        <v>229</v>
      </c>
      <c r="G359" s="438"/>
      <c r="H359" s="416"/>
      <c r="I359" s="416"/>
      <c r="J359" s="416"/>
      <c r="K359" s="416"/>
      <c r="L359" s="416"/>
      <c r="M359" s="416"/>
      <c r="N359" s="416"/>
    </row>
    <row r="360" spans="1:14" s="418" customFormat="1" ht="12" thickBot="1">
      <c r="A360" s="475"/>
      <c r="B360" s="513"/>
      <c r="C360" s="547" t="s">
        <v>397</v>
      </c>
      <c r="D360" s="548"/>
      <c r="E360" s="548"/>
      <c r="F360" s="549"/>
      <c r="G360" s="438"/>
      <c r="H360" s="416"/>
      <c r="I360" s="416"/>
      <c r="J360" s="416"/>
      <c r="K360" s="416"/>
      <c r="L360" s="416"/>
      <c r="M360" s="416"/>
      <c r="N360" s="416"/>
    </row>
    <row r="361" spans="1:14" s="418" customFormat="1" ht="12" thickBot="1">
      <c r="A361" s="475"/>
      <c r="B361" s="580"/>
      <c r="C361" s="469"/>
      <c r="D361" s="469"/>
      <c r="E361" s="581"/>
      <c r="F361" s="582"/>
      <c r="G361" s="462"/>
      <c r="H361" s="416"/>
      <c r="I361" s="416"/>
      <c r="J361" s="416"/>
      <c r="K361" s="416"/>
      <c r="L361" s="416"/>
      <c r="M361" s="416"/>
      <c r="N361" s="416"/>
    </row>
    <row r="362" spans="1:14" s="418" customFormat="1" ht="12" thickBot="1">
      <c r="A362" s="475"/>
      <c r="B362" s="513"/>
      <c r="C362" s="437"/>
      <c r="D362" s="437"/>
      <c r="E362" s="533"/>
      <c r="F362" s="515"/>
      <c r="G362" s="438"/>
      <c r="H362" s="416"/>
      <c r="I362" s="416"/>
      <c r="J362" s="416"/>
      <c r="K362" s="416"/>
      <c r="L362" s="416"/>
      <c r="M362" s="416"/>
      <c r="N362" s="416"/>
    </row>
    <row r="363" spans="1:14" s="418" customFormat="1">
      <c r="A363" s="475"/>
      <c r="B363" s="513"/>
      <c r="C363" s="539"/>
      <c r="D363" s="540"/>
      <c r="E363" s="540"/>
      <c r="F363" s="541"/>
      <c r="G363" s="438"/>
      <c r="H363" s="416"/>
      <c r="I363" s="416"/>
      <c r="J363" s="416"/>
      <c r="K363" s="416"/>
      <c r="L363" s="416"/>
      <c r="M363" s="416"/>
      <c r="N363" s="416"/>
    </row>
    <row r="364" spans="1:14" s="418" customFormat="1">
      <c r="A364" s="475"/>
      <c r="B364" s="446"/>
      <c r="C364" s="542" t="s">
        <v>399</v>
      </c>
      <c r="D364" s="543"/>
      <c r="E364" s="511">
        <f>E122+E184+E357</f>
        <v>89339.372759999998</v>
      </c>
      <c r="F364" s="544" t="s">
        <v>229</v>
      </c>
      <c r="G364" s="564"/>
      <c r="H364" s="416"/>
      <c r="I364" s="416"/>
      <c r="J364" s="416"/>
      <c r="K364" s="416"/>
      <c r="L364" s="416"/>
      <c r="M364" s="416"/>
      <c r="N364" s="416"/>
    </row>
    <row r="365" spans="1:14" s="418" customFormat="1">
      <c r="A365" s="417"/>
      <c r="B365" s="446"/>
      <c r="C365" s="545" t="s">
        <v>400</v>
      </c>
      <c r="D365" s="543"/>
      <c r="E365" s="543"/>
      <c r="F365" s="546"/>
      <c r="G365" s="438"/>
      <c r="H365" s="416"/>
      <c r="I365" s="416"/>
      <c r="J365" s="416"/>
      <c r="K365" s="416"/>
      <c r="L365" s="416"/>
      <c r="M365" s="416"/>
      <c r="N365" s="416"/>
    </row>
    <row r="366" spans="1:14" s="418" customFormat="1">
      <c r="A366" s="475"/>
      <c r="B366" s="446"/>
      <c r="C366" s="542" t="s">
        <v>401</v>
      </c>
      <c r="D366" s="543"/>
      <c r="E366" s="511">
        <f>E364*E8</f>
        <v>1072072.47312</v>
      </c>
      <c r="F366" s="544" t="s">
        <v>229</v>
      </c>
      <c r="G366" s="438"/>
      <c r="H366" s="416"/>
      <c r="I366" s="416"/>
      <c r="J366" s="416"/>
      <c r="K366" s="416"/>
      <c r="L366" s="416"/>
      <c r="M366" s="416"/>
      <c r="N366" s="416"/>
    </row>
    <row r="367" spans="1:14" s="418" customFormat="1" ht="12" thickBot="1">
      <c r="A367" s="475"/>
      <c r="B367" s="446"/>
      <c r="C367" s="547" t="s">
        <v>400</v>
      </c>
      <c r="D367" s="548"/>
      <c r="E367" s="548"/>
      <c r="F367" s="549"/>
      <c r="G367" s="438"/>
      <c r="H367" s="416"/>
      <c r="I367" s="416"/>
      <c r="J367" s="416"/>
      <c r="K367" s="416"/>
      <c r="L367" s="416"/>
      <c r="M367" s="416"/>
      <c r="N367" s="416"/>
    </row>
    <row r="368" spans="1:14" s="418" customFormat="1" ht="12" thickBot="1">
      <c r="A368" s="475"/>
      <c r="B368" s="550"/>
      <c r="C368" s="469"/>
      <c r="D368" s="469"/>
      <c r="E368" s="469"/>
      <c r="F368" s="582"/>
      <c r="G368" s="462"/>
      <c r="H368" s="416"/>
      <c r="I368" s="416"/>
      <c r="J368" s="416"/>
      <c r="K368" s="416"/>
      <c r="L368" s="416"/>
      <c r="M368" s="416"/>
      <c r="N368" s="416"/>
    </row>
    <row r="369" spans="1:14" s="418" customFormat="1">
      <c r="A369" s="475"/>
      <c r="B369" s="416"/>
      <c r="C369" s="420"/>
      <c r="E369" s="636"/>
      <c r="F369" s="637"/>
      <c r="G369" s="426"/>
      <c r="H369" s="416"/>
      <c r="I369" s="416"/>
      <c r="J369" s="416"/>
      <c r="K369" s="416"/>
      <c r="L369" s="416"/>
      <c r="M369" s="416"/>
      <c r="N369" s="416"/>
    </row>
    <row r="370" spans="1:14" s="418" customFormat="1" ht="13.8" hidden="1">
      <c r="A370" s="826" t="s">
        <v>402</v>
      </c>
      <c r="B370" s="827"/>
      <c r="C370" s="827"/>
      <c r="D370" s="827"/>
      <c r="E370" s="827"/>
      <c r="F370" s="827"/>
      <c r="G370" s="828"/>
      <c r="H370" s="416"/>
      <c r="I370" s="416"/>
      <c r="J370" s="416"/>
      <c r="K370" s="416"/>
      <c r="L370" s="416"/>
      <c r="M370" s="416"/>
      <c r="N370" s="416"/>
    </row>
    <row r="371" spans="1:14" s="418" customFormat="1" hidden="1">
      <c r="A371" s="532"/>
      <c r="G371" s="426"/>
      <c r="H371" s="416"/>
      <c r="I371" s="416"/>
      <c r="J371" s="416"/>
      <c r="K371" s="416"/>
      <c r="L371" s="416"/>
      <c r="M371" s="416"/>
      <c r="N371" s="416"/>
    </row>
    <row r="372" spans="1:14" s="418" customFormat="1" hidden="1">
      <c r="A372" s="532"/>
      <c r="B372" s="638"/>
      <c r="C372" s="431"/>
      <c r="D372" s="431"/>
      <c r="E372" s="431"/>
      <c r="F372" s="431"/>
      <c r="G372" s="432"/>
      <c r="H372" s="416"/>
      <c r="I372" s="416"/>
      <c r="J372" s="416"/>
      <c r="K372" s="416"/>
      <c r="L372" s="416"/>
      <c r="M372" s="416"/>
      <c r="N372" s="416"/>
    </row>
    <row r="373" spans="1:14" s="418" customFormat="1" hidden="1">
      <c r="A373" s="532"/>
      <c r="B373" s="513"/>
      <c r="C373" s="437"/>
      <c r="D373" s="517" t="s">
        <v>223</v>
      </c>
      <c r="E373" s="517" t="s">
        <v>403</v>
      </c>
      <c r="F373" s="517" t="s">
        <v>277</v>
      </c>
      <c r="G373" s="438"/>
      <c r="H373" s="416"/>
      <c r="I373" s="416"/>
      <c r="J373" s="416"/>
      <c r="K373" s="416"/>
      <c r="L373" s="416"/>
      <c r="M373" s="416"/>
      <c r="N373" s="416"/>
    </row>
    <row r="374" spans="1:14" s="418" customFormat="1" hidden="1">
      <c r="A374" s="417"/>
      <c r="B374" s="513"/>
      <c r="C374" s="514"/>
      <c r="D374" s="560">
        <v>0</v>
      </c>
      <c r="E374" s="505">
        <v>0</v>
      </c>
      <c r="F374" s="505">
        <f>+E374*D374</f>
        <v>0</v>
      </c>
      <c r="G374" s="621"/>
      <c r="H374" s="416"/>
      <c r="I374" s="416"/>
      <c r="J374" s="416"/>
      <c r="K374" s="416"/>
      <c r="L374" s="416"/>
      <c r="M374" s="416"/>
      <c r="N374" s="416"/>
    </row>
    <row r="375" spans="1:14" s="418" customFormat="1" hidden="1">
      <c r="A375" s="417"/>
      <c r="B375" s="513"/>
      <c r="C375" s="514"/>
      <c r="D375" s="560">
        <v>0</v>
      </c>
      <c r="E375" s="505">
        <v>0</v>
      </c>
      <c r="F375" s="505">
        <f>D375*E375</f>
        <v>0</v>
      </c>
      <c r="G375" s="438"/>
      <c r="H375" s="416"/>
      <c r="I375" s="416"/>
      <c r="J375" s="416"/>
      <c r="K375" s="416"/>
      <c r="L375" s="416"/>
      <c r="M375" s="416"/>
      <c r="N375" s="416"/>
    </row>
    <row r="376" spans="1:14" s="418" customFormat="1" hidden="1">
      <c r="A376" s="417"/>
      <c r="B376" s="513"/>
      <c r="C376" s="522" t="s">
        <v>404</v>
      </c>
      <c r="D376" s="639">
        <f>SUM(D374:D375)</f>
        <v>0</v>
      </c>
      <c r="E376" s="640"/>
      <c r="F376" s="511">
        <f>SUM(F374:F375)</f>
        <v>0</v>
      </c>
      <c r="G376" s="564" t="s">
        <v>229</v>
      </c>
      <c r="H376" s="416"/>
      <c r="I376" s="416"/>
      <c r="J376" s="416"/>
      <c r="K376" s="416"/>
      <c r="L376" s="416"/>
      <c r="M376" s="416"/>
      <c r="N376" s="416"/>
    </row>
    <row r="377" spans="1:14" s="418" customFormat="1" hidden="1">
      <c r="A377" s="417"/>
      <c r="B377" s="513"/>
      <c r="C377" s="641" t="s">
        <v>405</v>
      </c>
      <c r="D377" s="642">
        <f>'[1]DADOS DE ENTRADA'!B35</f>
        <v>0.52200000000000002</v>
      </c>
      <c r="E377" s="505">
        <f>F376</f>
        <v>0</v>
      </c>
      <c r="F377" s="505">
        <f>ROUND(D377*E377,2)</f>
        <v>0</v>
      </c>
      <c r="G377" s="438"/>
      <c r="H377" s="416"/>
      <c r="I377" s="416"/>
      <c r="J377" s="416"/>
      <c r="K377" s="416"/>
      <c r="L377" s="416"/>
      <c r="M377" s="416"/>
      <c r="N377" s="416"/>
    </row>
    <row r="378" spans="1:14" s="418" customFormat="1" hidden="1">
      <c r="A378" s="417"/>
      <c r="B378" s="513"/>
      <c r="C378" s="437"/>
      <c r="D378" s="522"/>
      <c r="E378" s="525" t="s">
        <v>406</v>
      </c>
      <c r="F378" s="511">
        <f>+F377+F376</f>
        <v>0</v>
      </c>
      <c r="G378" s="564" t="s">
        <v>229</v>
      </c>
      <c r="H378" s="416"/>
      <c r="I378" s="416"/>
      <c r="J378" s="416"/>
      <c r="K378" s="416"/>
      <c r="L378" s="416"/>
      <c r="M378" s="416"/>
      <c r="N378" s="416"/>
    </row>
    <row r="379" spans="1:14" s="418" customFormat="1" hidden="1">
      <c r="A379" s="417"/>
      <c r="B379" s="513"/>
      <c r="C379" s="437"/>
      <c r="D379" s="437"/>
      <c r="E379" s="533"/>
      <c r="F379" s="515"/>
      <c r="G379" s="438"/>
      <c r="H379" s="416"/>
      <c r="I379" s="416"/>
      <c r="J379" s="416"/>
      <c r="K379" s="416"/>
      <c r="L379" s="416"/>
      <c r="M379" s="416"/>
      <c r="N379" s="416"/>
    </row>
    <row r="380" spans="1:14" s="418" customFormat="1" hidden="1">
      <c r="A380" s="417"/>
      <c r="B380" s="446"/>
      <c r="C380" s="539"/>
      <c r="D380" s="540"/>
      <c r="E380" s="540"/>
      <c r="F380" s="541"/>
      <c r="G380" s="564"/>
      <c r="H380" s="416"/>
      <c r="I380" s="416"/>
      <c r="J380" s="416"/>
      <c r="K380" s="416"/>
      <c r="L380" s="416"/>
      <c r="M380" s="416"/>
      <c r="N380" s="416"/>
    </row>
    <row r="381" spans="1:14" s="418" customFormat="1" hidden="1">
      <c r="A381" s="475"/>
      <c r="B381" s="446"/>
      <c r="C381" s="542" t="s">
        <v>407</v>
      </c>
      <c r="D381" s="543"/>
      <c r="E381" s="511">
        <f>F378</f>
        <v>0</v>
      </c>
      <c r="F381" s="544" t="s">
        <v>229</v>
      </c>
      <c r="G381" s="438"/>
      <c r="H381" s="416"/>
      <c r="I381" s="416"/>
      <c r="J381" s="416"/>
      <c r="K381" s="416"/>
      <c r="L381" s="416"/>
      <c r="M381" s="416"/>
      <c r="N381" s="416"/>
    </row>
    <row r="382" spans="1:14" s="418" customFormat="1" hidden="1">
      <c r="A382" s="443"/>
      <c r="B382" s="446"/>
      <c r="C382" s="545" t="s">
        <v>408</v>
      </c>
      <c r="D382" s="543"/>
      <c r="E382" s="543"/>
      <c r="F382" s="546"/>
      <c r="G382" s="438"/>
      <c r="H382" s="416"/>
      <c r="I382" s="416"/>
      <c r="J382" s="416"/>
      <c r="K382" s="416"/>
      <c r="L382" s="416"/>
      <c r="M382" s="416"/>
      <c r="N382" s="416"/>
    </row>
    <row r="383" spans="1:14" s="418" customFormat="1" hidden="1">
      <c r="A383" s="475"/>
      <c r="B383" s="446"/>
      <c r="C383" s="542" t="s">
        <v>409</v>
      </c>
      <c r="D383" s="543"/>
      <c r="E383" s="511">
        <f>+E381*E8</f>
        <v>0</v>
      </c>
      <c r="F383" s="544" t="s">
        <v>229</v>
      </c>
      <c r="G383" s="438"/>
      <c r="H383" s="416"/>
      <c r="I383" s="416"/>
      <c r="J383" s="416"/>
      <c r="K383" s="416"/>
      <c r="L383" s="416"/>
      <c r="M383" s="416"/>
      <c r="N383" s="416"/>
    </row>
    <row r="384" spans="1:14" s="418" customFormat="1" ht="12" hidden="1" thickBot="1">
      <c r="A384" s="475"/>
      <c r="B384" s="446"/>
      <c r="C384" s="547" t="s">
        <v>408</v>
      </c>
      <c r="D384" s="548"/>
      <c r="E384" s="548"/>
      <c r="F384" s="549"/>
      <c r="G384" s="564"/>
      <c r="H384" s="416"/>
      <c r="I384" s="416"/>
      <c r="J384" s="416"/>
      <c r="K384" s="416"/>
      <c r="L384" s="416"/>
      <c r="M384" s="416"/>
      <c r="N384" s="416"/>
    </row>
    <row r="385" spans="1:14" s="418" customFormat="1" ht="12" hidden="1" thickBot="1">
      <c r="A385" s="443"/>
      <c r="B385" s="550"/>
      <c r="C385" s="469"/>
      <c r="D385" s="469"/>
      <c r="E385" s="469"/>
      <c r="F385" s="582"/>
      <c r="G385" s="462"/>
      <c r="H385" s="416"/>
      <c r="I385" s="416"/>
      <c r="J385" s="416"/>
      <c r="K385" s="416"/>
      <c r="L385" s="416"/>
      <c r="M385" s="416"/>
      <c r="N385" s="416"/>
    </row>
    <row r="386" spans="1:14" s="418" customFormat="1" hidden="1">
      <c r="A386" s="417"/>
      <c r="B386" s="420"/>
      <c r="F386" s="552"/>
      <c r="G386" s="426"/>
      <c r="H386" s="416"/>
      <c r="I386" s="416"/>
      <c r="J386" s="416"/>
      <c r="K386" s="416"/>
      <c r="L386" s="416"/>
      <c r="M386" s="416"/>
      <c r="N386" s="416"/>
    </row>
    <row r="387" spans="1:14" s="418" customFormat="1" ht="13.8" hidden="1">
      <c r="A387" s="826" t="s">
        <v>623</v>
      </c>
      <c r="B387" s="827"/>
      <c r="C387" s="827"/>
      <c r="D387" s="827"/>
      <c r="E387" s="827"/>
      <c r="F387" s="827"/>
      <c r="G387" s="828"/>
      <c r="H387" s="416"/>
      <c r="I387" s="416"/>
      <c r="J387" s="416"/>
      <c r="K387" s="416"/>
      <c r="L387" s="416"/>
      <c r="M387" s="416"/>
      <c r="N387" s="416"/>
    </row>
    <row r="388" spans="1:14" s="418" customFormat="1" ht="13.8" hidden="1">
      <c r="A388" s="643"/>
      <c r="B388" s="644"/>
      <c r="C388" s="644"/>
      <c r="D388" s="644"/>
      <c r="E388" s="644"/>
      <c r="F388" s="644"/>
      <c r="G388" s="645"/>
      <c r="H388" s="416"/>
      <c r="I388" s="416"/>
      <c r="J388" s="416"/>
      <c r="K388" s="416"/>
      <c r="L388" s="416"/>
      <c r="M388" s="416"/>
      <c r="N388" s="416"/>
    </row>
    <row r="389" spans="1:14" s="418" customFormat="1" hidden="1">
      <c r="A389" s="646"/>
      <c r="B389" s="647"/>
      <c r="C389" s="648"/>
      <c r="D389" s="648"/>
      <c r="E389" s="649"/>
      <c r="F389" s="650" t="s">
        <v>166</v>
      </c>
      <c r="G389" s="432"/>
      <c r="H389" s="416"/>
      <c r="I389" s="416"/>
      <c r="J389" s="416"/>
      <c r="K389" s="416"/>
      <c r="L389" s="416"/>
      <c r="M389" s="416"/>
      <c r="N389" s="416"/>
    </row>
    <row r="390" spans="1:14" s="418" customFormat="1" hidden="1">
      <c r="A390" s="646"/>
      <c r="B390" s="590" t="s">
        <v>411</v>
      </c>
      <c r="C390" s="651">
        <v>0</v>
      </c>
      <c r="D390" s="512" t="s">
        <v>488</v>
      </c>
      <c r="E390" s="652" t="s">
        <v>465</v>
      </c>
      <c r="F390" s="651">
        <v>1</v>
      </c>
      <c r="G390" s="438"/>
      <c r="H390" s="416"/>
      <c r="I390" s="416"/>
      <c r="J390" s="416"/>
      <c r="K390" s="416"/>
      <c r="L390" s="416"/>
      <c r="M390" s="416"/>
      <c r="N390" s="416"/>
    </row>
    <row r="391" spans="1:14" s="418" customFormat="1" hidden="1">
      <c r="A391" s="646"/>
      <c r="B391" s="590" t="s">
        <v>412</v>
      </c>
      <c r="C391" s="617"/>
      <c r="D391" s="512" t="s">
        <v>229</v>
      </c>
      <c r="E391" s="652" t="s">
        <v>412</v>
      </c>
      <c r="F391" s="617">
        <v>0</v>
      </c>
      <c r="G391" s="653"/>
      <c r="H391" s="416"/>
      <c r="I391" s="416"/>
      <c r="J391" s="416"/>
      <c r="K391" s="416"/>
      <c r="L391" s="416"/>
      <c r="M391" s="416"/>
      <c r="N391" s="416"/>
    </row>
    <row r="392" spans="1:14" s="418" customFormat="1" hidden="1">
      <c r="A392" s="646"/>
      <c r="B392" s="590" t="s">
        <v>413</v>
      </c>
      <c r="C392" s="654"/>
      <c r="D392" s="512" t="s">
        <v>414</v>
      </c>
      <c r="E392" s="652" t="s">
        <v>413</v>
      </c>
      <c r="F392" s="655"/>
      <c r="G392" s="438"/>
      <c r="H392" s="416"/>
      <c r="I392" s="416"/>
      <c r="J392" s="416"/>
      <c r="K392" s="416"/>
      <c r="L392" s="416"/>
      <c r="M392" s="416"/>
      <c r="N392" s="416"/>
    </row>
    <row r="393" spans="1:14" hidden="1">
      <c r="A393" s="417"/>
      <c r="B393" s="590" t="s">
        <v>415</v>
      </c>
      <c r="C393" s="656"/>
      <c r="D393" s="512" t="s">
        <v>390</v>
      </c>
      <c r="E393" s="652" t="s">
        <v>415</v>
      </c>
      <c r="F393" s="657"/>
      <c r="G393" s="438"/>
    </row>
    <row r="394" spans="1:14" hidden="1">
      <c r="A394" s="530"/>
      <c r="B394" s="590" t="s">
        <v>416</v>
      </c>
      <c r="C394" s="656"/>
      <c r="D394" s="512" t="s">
        <v>390</v>
      </c>
      <c r="E394" s="652" t="s">
        <v>416</v>
      </c>
      <c r="F394" s="657"/>
      <c r="G394" s="438"/>
    </row>
    <row r="395" spans="1:14" hidden="1">
      <c r="A395" s="417"/>
      <c r="B395" s="590" t="s">
        <v>417</v>
      </c>
      <c r="C395" s="656"/>
      <c r="D395" s="512" t="s">
        <v>418</v>
      </c>
      <c r="E395" s="652" t="s">
        <v>417</v>
      </c>
      <c r="F395" s="656"/>
      <c r="G395" s="438"/>
    </row>
    <row r="396" spans="1:14" hidden="1">
      <c r="A396" s="417"/>
      <c r="B396" s="590" t="s">
        <v>419</v>
      </c>
      <c r="C396" s="656"/>
      <c r="D396" s="512" t="s">
        <v>390</v>
      </c>
      <c r="E396" s="652" t="s">
        <v>419</v>
      </c>
      <c r="F396" s="656"/>
      <c r="G396" s="438"/>
    </row>
    <row r="397" spans="1:14" hidden="1">
      <c r="A397" s="417"/>
      <c r="B397" s="590" t="s">
        <v>420</v>
      </c>
      <c r="C397" s="609"/>
      <c r="D397" s="512" t="s">
        <v>387</v>
      </c>
      <c r="E397" s="652" t="s">
        <v>420</v>
      </c>
      <c r="F397" s="609"/>
      <c r="G397" s="438"/>
    </row>
    <row r="398" spans="1:14" hidden="1">
      <c r="A398" s="417"/>
      <c r="B398" s="590" t="s">
        <v>421</v>
      </c>
      <c r="C398" s="651">
        <v>500</v>
      </c>
      <c r="D398" s="512" t="s">
        <v>361</v>
      </c>
      <c r="E398" s="652" t="s">
        <v>421</v>
      </c>
      <c r="F398" s="651">
        <v>0</v>
      </c>
      <c r="G398" s="438"/>
    </row>
    <row r="399" spans="1:14" hidden="1">
      <c r="A399" s="417"/>
      <c r="B399" s="590" t="s">
        <v>483</v>
      </c>
      <c r="C399" s="619">
        <v>0</v>
      </c>
      <c r="D399" s="512" t="s">
        <v>363</v>
      </c>
      <c r="E399" s="652" t="s">
        <v>422</v>
      </c>
      <c r="F399" s="619">
        <v>0</v>
      </c>
      <c r="G399" s="438"/>
    </row>
    <row r="400" spans="1:14" hidden="1">
      <c r="A400" s="417"/>
      <c r="B400" s="590" t="s">
        <v>423</v>
      </c>
      <c r="C400" s="619">
        <v>0</v>
      </c>
      <c r="D400" s="512" t="s">
        <v>359</v>
      </c>
      <c r="E400" s="652" t="s">
        <v>423</v>
      </c>
      <c r="F400" s="617">
        <f>'[1]DADOS DE ENTRADA'!H27</f>
        <v>3.8</v>
      </c>
      <c r="G400" s="438"/>
    </row>
    <row r="401" spans="1:7" hidden="1">
      <c r="A401" s="417"/>
      <c r="B401" s="590" t="s">
        <v>424</v>
      </c>
      <c r="C401" s="619"/>
      <c r="D401" s="512" t="s">
        <v>361</v>
      </c>
      <c r="E401" s="652" t="s">
        <v>424</v>
      </c>
      <c r="F401" s="619"/>
      <c r="G401" s="438"/>
    </row>
    <row r="402" spans="1:7" hidden="1">
      <c r="A402" s="658"/>
      <c r="B402" s="590" t="s">
        <v>425</v>
      </c>
      <c r="C402" s="656"/>
      <c r="D402" s="512" t="s">
        <v>229</v>
      </c>
      <c r="E402" s="652" t="s">
        <v>425</v>
      </c>
      <c r="F402" s="656"/>
      <c r="G402" s="438"/>
    </row>
    <row r="403" spans="1:7" hidden="1">
      <c r="A403" s="417"/>
      <c r="B403" s="590" t="s">
        <v>426</v>
      </c>
      <c r="C403" s="619"/>
      <c r="D403" s="512" t="s">
        <v>229</v>
      </c>
      <c r="E403" s="652" t="s">
        <v>426</v>
      </c>
      <c r="F403" s="619"/>
      <c r="G403" s="438"/>
    </row>
    <row r="404" spans="1:7" hidden="1">
      <c r="A404" s="417"/>
      <c r="B404" s="590" t="s">
        <v>427</v>
      </c>
      <c r="C404" s="619"/>
      <c r="D404" s="512" t="s">
        <v>229</v>
      </c>
      <c r="E404" s="652" t="s">
        <v>427</v>
      </c>
      <c r="F404" s="619"/>
      <c r="G404" s="438"/>
    </row>
    <row r="405" spans="1:7" hidden="1">
      <c r="A405" s="417"/>
      <c r="B405" s="585" t="s">
        <v>428</v>
      </c>
      <c r="C405" s="619">
        <f>+(C389*C391)*(C395/100)/12</f>
        <v>0</v>
      </c>
      <c r="D405" s="512" t="s">
        <v>229</v>
      </c>
      <c r="E405" s="652" t="s">
        <v>429</v>
      </c>
      <c r="F405" s="619">
        <v>0</v>
      </c>
      <c r="G405" s="438"/>
    </row>
    <row r="406" spans="1:7" hidden="1">
      <c r="A406" s="417"/>
      <c r="B406" s="590" t="s">
        <v>430</v>
      </c>
      <c r="C406" s="619">
        <f>ROUND(+(C389*C391)*(C396/100)/12,2)</f>
        <v>0</v>
      </c>
      <c r="D406" s="512" t="s">
        <v>229</v>
      </c>
      <c r="E406" s="652" t="s">
        <v>431</v>
      </c>
      <c r="F406" s="619">
        <v>0</v>
      </c>
      <c r="G406" s="438"/>
    </row>
    <row r="407" spans="1:7" hidden="1">
      <c r="A407" s="658"/>
      <c r="B407" s="659" t="s">
        <v>432</v>
      </c>
      <c r="C407" s="592">
        <f>C391</f>
        <v>0</v>
      </c>
      <c r="D407" s="512" t="s">
        <v>229</v>
      </c>
      <c r="E407" s="660" t="s">
        <v>432</v>
      </c>
      <c r="F407" s="592">
        <f>F391</f>
        <v>0</v>
      </c>
      <c r="G407" s="438"/>
    </row>
    <row r="408" spans="1:7" hidden="1">
      <c r="A408" s="417"/>
      <c r="B408" s="590" t="s">
        <v>433</v>
      </c>
      <c r="C408" s="619">
        <v>0</v>
      </c>
      <c r="D408" s="512" t="s">
        <v>229</v>
      </c>
      <c r="E408" s="652" t="s">
        <v>433</v>
      </c>
      <c r="F408" s="619">
        <f>F399*F400</f>
        <v>0</v>
      </c>
      <c r="G408" s="438"/>
    </row>
    <row r="409" spans="1:7" hidden="1">
      <c r="A409" s="417"/>
      <c r="B409" s="590" t="s">
        <v>434</v>
      </c>
      <c r="C409" s="619">
        <v>0</v>
      </c>
      <c r="D409" s="512" t="s">
        <v>229</v>
      </c>
      <c r="E409" s="652" t="s">
        <v>434</v>
      </c>
      <c r="F409" s="619">
        <f>ROUND(+F397*F398,2)</f>
        <v>0</v>
      </c>
      <c r="G409" s="438"/>
    </row>
    <row r="410" spans="1:7" hidden="1">
      <c r="A410" s="417"/>
      <c r="B410" s="590" t="s">
        <v>435</v>
      </c>
      <c r="C410" s="619">
        <v>0</v>
      </c>
      <c r="D410" s="512" t="s">
        <v>229</v>
      </c>
      <c r="E410" s="652" t="s">
        <v>435</v>
      </c>
      <c r="F410" s="619"/>
      <c r="G410" s="438"/>
    </row>
    <row r="411" spans="1:7" hidden="1">
      <c r="A411" s="646"/>
      <c r="B411" s="659" t="s">
        <v>436</v>
      </c>
      <c r="C411" s="619">
        <v>0</v>
      </c>
      <c r="D411" s="512" t="s">
        <v>229</v>
      </c>
      <c r="E411" s="660" t="s">
        <v>436</v>
      </c>
      <c r="F411" s="592">
        <f>SUM(F408:F410)</f>
        <v>0</v>
      </c>
      <c r="G411" s="438"/>
    </row>
    <row r="412" spans="1:7" hidden="1">
      <c r="A412" s="646"/>
      <c r="B412" s="597" t="s">
        <v>437</v>
      </c>
      <c r="C412" s="511">
        <f>(+C407+C411)*C390</f>
        <v>0</v>
      </c>
      <c r="D412" s="512" t="s">
        <v>229</v>
      </c>
      <c r="E412" s="512"/>
      <c r="F412" s="511">
        <f>(+F407+F411)*F390</f>
        <v>0</v>
      </c>
      <c r="G412" s="438" t="str">
        <f>D412</f>
        <v>(R$)</v>
      </c>
    </row>
    <row r="413" spans="1:7" hidden="1">
      <c r="A413" s="646"/>
      <c r="B413" s="587"/>
      <c r="C413" s="522"/>
      <c r="D413" s="533"/>
      <c r="E413" s="589"/>
      <c r="F413" s="589"/>
      <c r="G413" s="438"/>
    </row>
    <row r="414" spans="1:7" hidden="1">
      <c r="A414" s="646"/>
      <c r="B414" s="587"/>
      <c r="C414" s="522"/>
      <c r="D414" s="525" t="s">
        <v>438</v>
      </c>
      <c r="E414" s="511">
        <f>C412+F412</f>
        <v>0</v>
      </c>
      <c r="F414" s="589"/>
      <c r="G414" s="438"/>
    </row>
    <row r="415" spans="1:7" hidden="1">
      <c r="A415" s="646"/>
      <c r="B415" s="446"/>
      <c r="C415" s="522"/>
      <c r="D415" s="525" t="s">
        <v>439</v>
      </c>
      <c r="E415" s="511">
        <f>E414*E8</f>
        <v>0</v>
      </c>
      <c r="F415" s="512" t="s">
        <v>229</v>
      </c>
      <c r="G415" s="438"/>
    </row>
    <row r="416" spans="1:7" hidden="1">
      <c r="A416" s="646"/>
      <c r="B416" s="587"/>
      <c r="C416" s="522"/>
      <c r="D416" s="533"/>
      <c r="E416" s="589"/>
      <c r="F416" s="589"/>
      <c r="G416" s="438"/>
    </row>
    <row r="417" spans="1:7" hidden="1">
      <c r="A417" s="417"/>
      <c r="B417" s="446"/>
      <c r="C417" s="539"/>
      <c r="D417" s="540"/>
      <c r="E417" s="540"/>
      <c r="F417" s="541"/>
      <c r="G417" s="438"/>
    </row>
    <row r="418" spans="1:7" hidden="1">
      <c r="A418" s="417"/>
      <c r="B418" s="446"/>
      <c r="C418" s="661" t="s">
        <v>440</v>
      </c>
      <c r="D418" s="543"/>
      <c r="E418" s="511">
        <v>0</v>
      </c>
      <c r="F418" s="544" t="s">
        <v>229</v>
      </c>
      <c r="G418" s="564"/>
    </row>
    <row r="419" spans="1:7" hidden="1">
      <c r="A419" s="475"/>
      <c r="B419" s="446"/>
      <c r="C419" s="545" t="s">
        <v>441</v>
      </c>
      <c r="D419" s="543"/>
      <c r="E419" s="543"/>
      <c r="F419" s="546"/>
      <c r="G419" s="438"/>
    </row>
    <row r="420" spans="1:7" hidden="1">
      <c r="A420" s="475"/>
      <c r="B420" s="446"/>
      <c r="C420" s="661" t="s">
        <v>442</v>
      </c>
      <c r="D420" s="543"/>
      <c r="E420" s="511">
        <v>0</v>
      </c>
      <c r="F420" s="544" t="s">
        <v>229</v>
      </c>
      <c r="G420" s="531"/>
    </row>
    <row r="421" spans="1:7" ht="12" hidden="1" thickBot="1">
      <c r="A421" s="443"/>
      <c r="B421" s="446"/>
      <c r="C421" s="547" t="s">
        <v>443</v>
      </c>
      <c r="D421" s="548"/>
      <c r="E421" s="548"/>
      <c r="F421" s="549"/>
      <c r="G421" s="564"/>
    </row>
    <row r="422" spans="1:7" ht="12" hidden="1" thickBot="1">
      <c r="A422" s="475"/>
      <c r="B422" s="550"/>
      <c r="C422" s="459"/>
      <c r="D422" s="469"/>
      <c r="E422" s="581"/>
      <c r="F422" s="581"/>
      <c r="G422" s="462"/>
    </row>
    <row r="423" spans="1:7" ht="13.8" hidden="1">
      <c r="A423" s="662"/>
      <c r="B423" s="663"/>
      <c r="C423" s="663"/>
      <c r="D423" s="663"/>
      <c r="E423" s="663"/>
      <c r="F423" s="663"/>
      <c r="G423" s="664"/>
    </row>
    <row r="424" spans="1:7" ht="13.8">
      <c r="A424" s="826" t="s">
        <v>444</v>
      </c>
      <c r="B424" s="827"/>
      <c r="C424" s="827"/>
      <c r="D424" s="827"/>
      <c r="E424" s="827"/>
      <c r="F424" s="827"/>
      <c r="G424" s="828"/>
    </row>
    <row r="425" spans="1:7" ht="12" thickBot="1">
      <c r="A425" s="443"/>
      <c r="D425" s="665"/>
      <c r="F425" s="666"/>
      <c r="G425" s="426"/>
    </row>
    <row r="426" spans="1:7">
      <c r="A426" s="443"/>
      <c r="B426" s="464" t="s">
        <v>445</v>
      </c>
      <c r="C426" s="465"/>
      <c r="D426" s="465"/>
      <c r="E426" s="465"/>
      <c r="F426" s="465"/>
      <c r="G426" s="667"/>
    </row>
    <row r="427" spans="1:7">
      <c r="A427" s="443"/>
      <c r="B427" s="668"/>
      <c r="C427" s="451"/>
      <c r="D427" s="451"/>
      <c r="E427" s="451"/>
      <c r="F427" s="451"/>
      <c r="G427" s="438"/>
    </row>
    <row r="428" spans="1:7">
      <c r="A428" s="443"/>
      <c r="B428" s="668"/>
      <c r="C428" s="451"/>
      <c r="D428" s="451"/>
      <c r="E428" s="451"/>
      <c r="F428" s="451"/>
      <c r="G428" s="438"/>
    </row>
    <row r="429" spans="1:7">
      <c r="A429" s="443"/>
      <c r="B429" s="668"/>
      <c r="C429" s="451"/>
      <c r="D429" s="451"/>
      <c r="E429" s="451"/>
      <c r="F429" s="451"/>
      <c r="G429" s="438"/>
    </row>
    <row r="430" spans="1:7">
      <c r="A430" s="443"/>
      <c r="B430" s="668"/>
      <c r="C430" s="451"/>
      <c r="D430" s="451"/>
      <c r="E430" s="451"/>
      <c r="F430" s="451"/>
      <c r="G430" s="438"/>
    </row>
    <row r="431" spans="1:7">
      <c r="A431" s="443"/>
      <c r="B431" s="668"/>
      <c r="C431" s="451"/>
      <c r="D431" s="451"/>
      <c r="E431" s="451"/>
      <c r="F431" s="451"/>
      <c r="G431" s="438"/>
    </row>
    <row r="432" spans="1:7">
      <c r="A432" s="443"/>
      <c r="B432" s="668"/>
      <c r="C432" s="451"/>
      <c r="D432" s="451"/>
      <c r="E432" s="451"/>
      <c r="F432" s="451"/>
      <c r="G432" s="438"/>
    </row>
    <row r="433" spans="1:7">
      <c r="A433" s="443"/>
      <c r="B433" s="668"/>
      <c r="C433" s="451"/>
      <c r="D433" s="451"/>
      <c r="E433" s="451"/>
      <c r="F433" s="451"/>
      <c r="G433" s="438"/>
    </row>
    <row r="434" spans="1:7" ht="13.8">
      <c r="A434" s="443"/>
      <c r="B434" s="668"/>
      <c r="C434" s="850" t="s">
        <v>446</v>
      </c>
      <c r="D434" s="669" t="s">
        <v>109</v>
      </c>
      <c r="E434" s="204">
        <v>1.6500000000000001E-2</v>
      </c>
      <c r="F434" s="451"/>
      <c r="G434" s="438"/>
    </row>
    <row r="435" spans="1:7" ht="13.8">
      <c r="A435" s="443"/>
      <c r="B435" s="668"/>
      <c r="C435" s="851"/>
      <c r="D435" s="669" t="s">
        <v>112</v>
      </c>
      <c r="E435" s="204">
        <v>7.5999999999999998E-2</v>
      </c>
      <c r="F435" s="451"/>
      <c r="G435" s="438"/>
    </row>
    <row r="436" spans="1:7" ht="13.8">
      <c r="A436" s="443"/>
      <c r="B436" s="668"/>
      <c r="C436" s="851"/>
      <c r="D436" s="669" t="s">
        <v>115</v>
      </c>
      <c r="E436" s="204">
        <v>0.05</v>
      </c>
      <c r="F436" s="451"/>
      <c r="G436" s="438"/>
    </row>
    <row r="437" spans="1:7" ht="13.8">
      <c r="A437" s="443"/>
      <c r="B437" s="668"/>
      <c r="C437" s="848" t="s">
        <v>624</v>
      </c>
      <c r="D437" s="848"/>
      <c r="E437" s="204">
        <v>0.14250000000000002</v>
      </c>
      <c r="F437" s="451"/>
      <c r="G437" s="438"/>
    </row>
    <row r="438" spans="1:7" ht="13.8">
      <c r="A438" s="443"/>
      <c r="B438" s="534"/>
      <c r="C438" s="852" t="s">
        <v>448</v>
      </c>
      <c r="D438" s="853"/>
      <c r="E438" s="204">
        <v>3.4299999999999997E-2</v>
      </c>
      <c r="F438" s="451"/>
      <c r="G438" s="438"/>
    </row>
    <row r="439" spans="1:7" ht="13.8">
      <c r="A439" s="443"/>
      <c r="B439" s="534"/>
      <c r="C439" s="848" t="s">
        <v>449</v>
      </c>
      <c r="D439" s="848"/>
      <c r="E439" s="204">
        <v>0.01</v>
      </c>
      <c r="F439" s="451"/>
      <c r="G439" s="438"/>
    </row>
    <row r="440" spans="1:7" ht="13.8">
      <c r="A440" s="443"/>
      <c r="B440" s="513"/>
      <c r="C440" s="848" t="s">
        <v>450</v>
      </c>
      <c r="D440" s="848"/>
      <c r="E440" s="204">
        <v>4.8999999999999998E-3</v>
      </c>
      <c r="F440" s="451"/>
      <c r="G440" s="438"/>
    </row>
    <row r="441" spans="1:7" ht="13.8">
      <c r="A441" s="443"/>
      <c r="B441" s="513"/>
      <c r="C441" s="848" t="s">
        <v>451</v>
      </c>
      <c r="D441" s="848"/>
      <c r="E441" s="204">
        <v>9.4000000000000004E-3</v>
      </c>
      <c r="F441" s="451"/>
      <c r="G441" s="438"/>
    </row>
    <row r="442" spans="1:7" ht="13.8">
      <c r="A442" s="443"/>
      <c r="B442" s="534"/>
      <c r="C442" s="848" t="s">
        <v>452</v>
      </c>
      <c r="D442" s="848"/>
      <c r="E442" s="204">
        <v>8.5000000000000006E-2</v>
      </c>
      <c r="F442" s="451"/>
      <c r="G442" s="438"/>
    </row>
    <row r="443" spans="1:7" ht="13.8">
      <c r="A443" s="443"/>
      <c r="B443" s="668"/>
      <c r="C443" s="849" t="s">
        <v>453</v>
      </c>
      <c r="D443" s="849"/>
      <c r="E443" s="670">
        <f>((1+E438+E439+E440)*(1+E441)*(1+E442))/(1-E437)-1</f>
        <v>0.34003823999999994</v>
      </c>
      <c r="F443" s="451"/>
      <c r="G443" s="438"/>
    </row>
    <row r="444" spans="1:7" ht="12" thickBot="1">
      <c r="A444" s="443"/>
      <c r="B444" s="671"/>
      <c r="C444" s="672"/>
      <c r="D444" s="672"/>
      <c r="E444" s="672"/>
      <c r="F444" s="672"/>
      <c r="G444" s="673"/>
    </row>
    <row r="445" spans="1:7">
      <c r="A445" s="443"/>
      <c r="B445" s="638"/>
      <c r="C445" s="429"/>
      <c r="D445" s="429"/>
      <c r="E445" s="674"/>
      <c r="F445" s="465"/>
      <c r="G445" s="667"/>
    </row>
    <row r="446" spans="1:7">
      <c r="A446" s="475"/>
      <c r="B446" s="534"/>
      <c r="C446" s="437"/>
      <c r="D446" s="435" t="s">
        <v>454</v>
      </c>
      <c r="E446" s="511">
        <f>E364</f>
        <v>89339.372759999998</v>
      </c>
      <c r="F446" s="589" t="s">
        <v>340</v>
      </c>
      <c r="G446" s="438"/>
    </row>
    <row r="447" spans="1:7">
      <c r="A447" s="646"/>
      <c r="B447" s="513"/>
      <c r="C447" s="437"/>
      <c r="D447" s="435" t="s">
        <v>455</v>
      </c>
      <c r="E447" s="520">
        <v>1</v>
      </c>
      <c r="F447" s="589" t="s">
        <v>577</v>
      </c>
      <c r="G447" s="621"/>
    </row>
    <row r="448" spans="1:7">
      <c r="A448" s="646"/>
      <c r="B448" s="513"/>
      <c r="C448" s="437"/>
      <c r="D448" s="437"/>
      <c r="E448" s="437"/>
      <c r="F448" s="437"/>
      <c r="G448" s="438"/>
    </row>
    <row r="449" spans="1:14">
      <c r="A449" s="475"/>
      <c r="B449" s="534"/>
      <c r="C449" s="437"/>
      <c r="D449" s="675" t="s">
        <v>457</v>
      </c>
      <c r="E449" s="511">
        <f>E446/E447</f>
        <v>89339.372759999998</v>
      </c>
      <c r="F449" s="589" t="s">
        <v>577</v>
      </c>
      <c r="G449" s="438"/>
    </row>
    <row r="450" spans="1:14" ht="13.5" customHeight="1">
      <c r="A450" s="646"/>
      <c r="B450" s="513"/>
      <c r="C450" s="437"/>
      <c r="D450" s="485"/>
      <c r="E450" s="485"/>
      <c r="F450" s="589"/>
      <c r="G450" s="438"/>
    </row>
    <row r="451" spans="1:14" ht="13.5" customHeight="1">
      <c r="A451" s="646"/>
      <c r="B451" s="534"/>
      <c r="C451" s="437"/>
      <c r="D451" s="568"/>
      <c r="E451" s="437"/>
      <c r="F451" s="437"/>
      <c r="G451" s="438"/>
    </row>
    <row r="452" spans="1:14" ht="13.5" customHeight="1">
      <c r="A452" s="646"/>
      <c r="B452" s="513"/>
      <c r="C452" s="435"/>
      <c r="D452" s="676" t="s">
        <v>459</v>
      </c>
      <c r="E452" s="511">
        <f>E449*(1+E443)</f>
        <v>119718.17583601433</v>
      </c>
      <c r="F452" s="589" t="s">
        <v>577</v>
      </c>
      <c r="G452" s="531"/>
    </row>
    <row r="453" spans="1:14" ht="13.5" customHeight="1" thickBot="1">
      <c r="A453" s="677"/>
      <c r="B453" s="678"/>
      <c r="C453" s="679"/>
      <c r="D453" s="679"/>
      <c r="E453" s="469"/>
      <c r="F453" s="680"/>
      <c r="G453" s="551"/>
    </row>
    <row r="454" spans="1:14" s="418" customFormat="1" ht="13.5" customHeight="1">
      <c r="A454" s="681"/>
      <c r="B454" s="681"/>
      <c r="C454" s="681"/>
      <c r="D454" s="682"/>
      <c r="E454" s="683"/>
      <c r="F454" s="684"/>
      <c r="G454" s="685"/>
      <c r="H454" s="416"/>
      <c r="I454" s="416"/>
      <c r="J454" s="416"/>
      <c r="K454" s="416"/>
      <c r="L454" s="416"/>
      <c r="M454" s="416"/>
      <c r="N454" s="416"/>
    </row>
    <row r="455" spans="1:14" s="418" customFormat="1" ht="13.5" customHeight="1">
      <c r="A455" s="681"/>
      <c r="B455" s="681"/>
      <c r="C455" s="681"/>
      <c r="D455" s="682"/>
      <c r="E455" s="637"/>
      <c r="F455" s="684"/>
      <c r="G455" s="685"/>
      <c r="H455" s="416"/>
      <c r="I455" s="416"/>
      <c r="J455" s="416"/>
      <c r="K455" s="416"/>
      <c r="L455" s="416"/>
      <c r="M455" s="416"/>
      <c r="N455" s="416"/>
    </row>
    <row r="456" spans="1:14" s="418" customFormat="1" ht="13.5" customHeight="1">
      <c r="A456" s="681"/>
      <c r="B456" s="681"/>
      <c r="C456" s="681"/>
      <c r="D456" s="682"/>
      <c r="E456" s="637"/>
      <c r="F456" s="684"/>
      <c r="G456" s="685"/>
      <c r="H456" s="416"/>
      <c r="I456" s="416"/>
      <c r="J456" s="416"/>
      <c r="K456" s="416"/>
      <c r="L456" s="416"/>
      <c r="M456" s="416"/>
      <c r="N456" s="416"/>
    </row>
    <row r="457" spans="1:14" s="418" customFormat="1" ht="13.5" customHeight="1">
      <c r="A457" s="681"/>
      <c r="B457" s="681"/>
      <c r="C457" s="681"/>
      <c r="D457" s="682"/>
      <c r="E457" s="637"/>
      <c r="F457" s="684"/>
      <c r="G457" s="685"/>
      <c r="H457" s="416"/>
      <c r="I457" s="416"/>
      <c r="J457" s="416"/>
      <c r="K457" s="416"/>
      <c r="L457" s="416"/>
      <c r="M457" s="416"/>
      <c r="N457" s="416"/>
    </row>
    <row r="458" spans="1:14" s="418" customFormat="1" ht="13.5" customHeight="1">
      <c r="A458" s="681"/>
      <c r="B458" s="681"/>
      <c r="C458" s="681"/>
      <c r="D458" s="682"/>
      <c r="E458" s="637"/>
      <c r="F458" s="684"/>
      <c r="G458" s="685"/>
      <c r="H458" s="416"/>
      <c r="I458" s="416"/>
      <c r="J458" s="416"/>
      <c r="K458" s="416"/>
      <c r="L458" s="416"/>
      <c r="M458" s="416"/>
      <c r="N458" s="416"/>
    </row>
    <row r="459" spans="1:14" s="418" customFormat="1" ht="13.5" customHeight="1">
      <c r="A459" s="681"/>
      <c r="B459" s="681"/>
      <c r="C459" s="681"/>
      <c r="D459" s="682"/>
      <c r="E459" s="637"/>
      <c r="F459" s="684"/>
      <c r="G459" s="685"/>
      <c r="H459" s="416"/>
      <c r="I459" s="416"/>
      <c r="J459" s="416"/>
      <c r="K459" s="416"/>
      <c r="L459" s="416"/>
      <c r="M459" s="416"/>
      <c r="N459" s="416"/>
    </row>
    <row r="460" spans="1:14" s="418" customFormat="1" ht="13.5" customHeight="1">
      <c r="A460" s="681"/>
      <c r="B460" s="681"/>
      <c r="C460" s="681"/>
      <c r="D460" s="682"/>
      <c r="E460" s="637"/>
      <c r="F460" s="684"/>
      <c r="G460" s="685"/>
      <c r="H460" s="416"/>
      <c r="I460" s="416"/>
      <c r="J460" s="416"/>
      <c r="K460" s="416"/>
      <c r="L460" s="416"/>
      <c r="M460" s="416"/>
      <c r="N460" s="416"/>
    </row>
    <row r="461" spans="1:14" s="418" customFormat="1" ht="13.5" customHeight="1">
      <c r="A461" s="681"/>
      <c r="B461" s="681"/>
      <c r="C461" s="681"/>
      <c r="D461" s="682"/>
      <c r="E461" s="637"/>
      <c r="F461" s="684"/>
      <c r="G461" s="685"/>
      <c r="H461" s="416"/>
      <c r="I461" s="416"/>
      <c r="J461" s="416"/>
      <c r="K461" s="416"/>
      <c r="L461" s="416"/>
      <c r="M461" s="416"/>
      <c r="N461" s="416"/>
    </row>
    <row r="462" spans="1:14" s="418" customFormat="1" ht="13.5" customHeight="1">
      <c r="A462" s="681"/>
      <c r="B462" s="681"/>
      <c r="C462" s="681"/>
      <c r="D462" s="682"/>
      <c r="E462" s="637"/>
      <c r="F462" s="684"/>
      <c r="G462" s="685"/>
      <c r="H462" s="416"/>
      <c r="I462" s="416"/>
      <c r="J462" s="416"/>
      <c r="K462" s="416"/>
      <c r="L462" s="416"/>
      <c r="M462" s="416"/>
      <c r="N462" s="416"/>
    </row>
    <row r="463" spans="1:14" s="418" customFormat="1" ht="13.5" customHeight="1">
      <c r="A463" s="681"/>
      <c r="B463" s="681"/>
      <c r="C463" s="681"/>
      <c r="D463" s="682"/>
      <c r="E463" s="637"/>
      <c r="F463" s="684"/>
      <c r="G463" s="685"/>
      <c r="H463" s="416"/>
      <c r="I463" s="416"/>
      <c r="J463" s="416"/>
      <c r="K463" s="416"/>
      <c r="L463" s="416"/>
      <c r="M463" s="416"/>
      <c r="N463" s="416"/>
    </row>
    <row r="464" spans="1:14" s="418" customFormat="1" ht="13.5" customHeight="1">
      <c r="A464" s="681"/>
      <c r="B464" s="681"/>
      <c r="C464" s="681"/>
      <c r="D464" s="682"/>
      <c r="E464" s="637"/>
      <c r="F464" s="684"/>
      <c r="G464" s="685"/>
      <c r="H464" s="416"/>
      <c r="I464" s="416"/>
      <c r="J464" s="416"/>
      <c r="K464" s="416"/>
      <c r="L464" s="416"/>
      <c r="M464" s="416"/>
      <c r="N464" s="416"/>
    </row>
    <row r="465" spans="1:14" s="418" customFormat="1" ht="13.5" customHeight="1">
      <c r="A465" s="681"/>
      <c r="B465" s="681"/>
      <c r="C465" s="681"/>
      <c r="D465" s="682"/>
      <c r="E465" s="637"/>
      <c r="F465" s="684"/>
      <c r="G465" s="685"/>
      <c r="H465" s="416"/>
      <c r="I465" s="416"/>
      <c r="J465" s="416"/>
      <c r="K465" s="416"/>
      <c r="L465" s="416"/>
      <c r="M465" s="416"/>
      <c r="N465" s="416"/>
    </row>
    <row r="466" spans="1:14" s="418" customFormat="1" ht="13.5" customHeight="1">
      <c r="A466" s="681"/>
      <c r="B466" s="681"/>
      <c r="C466" s="681"/>
      <c r="D466" s="682"/>
      <c r="E466" s="637"/>
      <c r="F466" s="684"/>
      <c r="G466" s="685"/>
      <c r="H466" s="416"/>
      <c r="I466" s="416"/>
      <c r="J466" s="416"/>
      <c r="K466" s="416"/>
      <c r="L466" s="416"/>
      <c r="M466" s="416"/>
      <c r="N466" s="416"/>
    </row>
    <row r="467" spans="1:14" s="418" customFormat="1" ht="13.5" customHeight="1">
      <c r="A467" s="681"/>
      <c r="B467" s="681"/>
      <c r="C467" s="681"/>
      <c r="D467" s="682"/>
      <c r="E467" s="637"/>
      <c r="F467" s="684"/>
      <c r="G467" s="685"/>
      <c r="H467" s="416"/>
      <c r="I467" s="416"/>
      <c r="J467" s="416"/>
      <c r="K467" s="416"/>
      <c r="L467" s="416"/>
      <c r="M467" s="416"/>
      <c r="N467" s="416"/>
    </row>
    <row r="468" spans="1:14" s="418" customFormat="1" ht="13.5" customHeight="1">
      <c r="A468" s="681"/>
      <c r="B468" s="681"/>
      <c r="C468" s="681"/>
      <c r="D468" s="682"/>
      <c r="E468" s="637"/>
      <c r="F468" s="684"/>
      <c r="G468" s="685"/>
      <c r="H468" s="416"/>
      <c r="I468" s="416"/>
      <c r="J468" s="416"/>
      <c r="K468" s="416"/>
      <c r="L468" s="416"/>
      <c r="M468" s="416"/>
      <c r="N468" s="416"/>
    </row>
    <row r="469" spans="1:14" s="418" customFormat="1" ht="13.5" customHeight="1">
      <c r="A469" s="681"/>
      <c r="B469" s="681"/>
      <c r="C469" s="681"/>
      <c r="D469" s="682"/>
      <c r="E469" s="637"/>
      <c r="F469" s="684"/>
      <c r="G469" s="685"/>
      <c r="H469" s="416"/>
      <c r="I469" s="416"/>
      <c r="J469" s="416"/>
      <c r="K469" s="416"/>
      <c r="L469" s="416"/>
      <c r="M469" s="416"/>
      <c r="N469" s="416"/>
    </row>
    <row r="470" spans="1:14" ht="13.5" customHeight="1">
      <c r="A470" s="681"/>
      <c r="B470" s="681"/>
      <c r="C470" s="681"/>
      <c r="D470" s="682"/>
      <c r="E470" s="637"/>
      <c r="F470" s="684"/>
      <c r="G470" s="685"/>
    </row>
    <row r="471" spans="1:14">
      <c r="A471" s="681"/>
      <c r="B471" s="681"/>
      <c r="C471" s="681"/>
      <c r="D471" s="682"/>
      <c r="E471" s="637"/>
      <c r="F471" s="684"/>
      <c r="G471" s="685"/>
    </row>
    <row r="472" spans="1:14">
      <c r="A472" s="681"/>
      <c r="B472" s="681"/>
      <c r="C472" s="681"/>
      <c r="D472" s="682"/>
      <c r="E472" s="637"/>
      <c r="F472" s="684"/>
      <c r="G472" s="685"/>
    </row>
    <row r="473" spans="1:14" s="418" customFormat="1">
      <c r="A473" s="681"/>
      <c r="B473" s="681"/>
      <c r="C473" s="681"/>
      <c r="D473" s="682"/>
      <c r="E473" s="637"/>
      <c r="F473" s="684"/>
      <c r="G473" s="685"/>
      <c r="H473" s="416"/>
      <c r="I473" s="416"/>
      <c r="J473" s="416"/>
      <c r="K473" s="416"/>
      <c r="L473" s="416"/>
      <c r="M473" s="416"/>
      <c r="N473" s="416"/>
    </row>
    <row r="474" spans="1:14" s="418" customFormat="1" ht="12.75" customHeight="1">
      <c r="A474" s="681"/>
      <c r="B474" s="681"/>
      <c r="C474" s="681"/>
      <c r="D474" s="682"/>
      <c r="E474" s="637"/>
      <c r="F474" s="684"/>
      <c r="G474" s="685"/>
      <c r="H474" s="416"/>
      <c r="I474" s="416"/>
      <c r="J474" s="416"/>
      <c r="K474" s="416"/>
      <c r="L474" s="416"/>
      <c r="M474" s="416"/>
      <c r="N474" s="416"/>
    </row>
    <row r="475" spans="1:14" s="418" customFormat="1">
      <c r="A475" s="681"/>
      <c r="B475" s="681"/>
      <c r="C475" s="681"/>
      <c r="D475" s="682"/>
      <c r="E475" s="637"/>
      <c r="F475" s="684"/>
      <c r="G475" s="685"/>
      <c r="H475" s="416"/>
      <c r="I475" s="416"/>
      <c r="J475" s="416"/>
      <c r="K475" s="416"/>
      <c r="L475" s="416"/>
      <c r="M475" s="416"/>
      <c r="N475" s="416"/>
    </row>
    <row r="476" spans="1:14" s="418" customFormat="1">
      <c r="A476" s="681"/>
      <c r="B476" s="681"/>
      <c r="C476" s="681"/>
      <c r="D476" s="682"/>
      <c r="E476" s="637"/>
      <c r="F476" s="684"/>
      <c r="G476" s="685"/>
      <c r="H476" s="416"/>
      <c r="I476" s="416"/>
      <c r="J476" s="416"/>
      <c r="K476" s="416"/>
      <c r="L476" s="416"/>
      <c r="M476" s="416"/>
      <c r="N476" s="416"/>
    </row>
    <row r="477" spans="1:14" s="418" customFormat="1">
      <c r="A477" s="681"/>
      <c r="B477" s="681"/>
      <c r="C477" s="681"/>
      <c r="D477" s="682"/>
      <c r="E477" s="637"/>
      <c r="F477" s="684"/>
      <c r="G477" s="685"/>
      <c r="H477" s="416"/>
      <c r="I477" s="416"/>
      <c r="J477" s="416"/>
      <c r="K477" s="416"/>
      <c r="L477" s="416"/>
      <c r="M477" s="416"/>
      <c r="N477" s="416"/>
    </row>
    <row r="478" spans="1:14" s="418" customFormat="1">
      <c r="A478" s="681"/>
      <c r="B478" s="681"/>
      <c r="C478" s="681"/>
      <c r="D478" s="682"/>
      <c r="E478" s="637"/>
      <c r="F478" s="684"/>
      <c r="G478" s="685"/>
      <c r="H478" s="416"/>
      <c r="I478" s="416"/>
      <c r="J478" s="416"/>
      <c r="K478" s="416"/>
      <c r="L478" s="416"/>
      <c r="M478" s="416"/>
      <c r="N478" s="416"/>
    </row>
    <row r="479" spans="1:14" s="418" customFormat="1">
      <c r="A479" s="681"/>
      <c r="B479" s="681"/>
      <c r="C479" s="681"/>
      <c r="D479" s="682"/>
      <c r="E479" s="637"/>
      <c r="F479" s="684"/>
      <c r="G479" s="685"/>
      <c r="H479" s="416"/>
      <c r="I479" s="416"/>
      <c r="J479" s="416"/>
      <c r="K479" s="416"/>
      <c r="L479" s="416"/>
      <c r="M479" s="416"/>
      <c r="N479" s="416"/>
    </row>
    <row r="480" spans="1:14" s="418" customFormat="1">
      <c r="A480" s="681"/>
      <c r="B480" s="681"/>
      <c r="C480" s="681"/>
      <c r="D480" s="682"/>
      <c r="E480" s="637"/>
      <c r="F480" s="684"/>
      <c r="G480" s="685"/>
      <c r="H480" s="416"/>
      <c r="I480" s="416"/>
      <c r="J480" s="416"/>
      <c r="K480" s="416"/>
      <c r="L480" s="416"/>
      <c r="M480" s="416"/>
      <c r="N480" s="416"/>
    </row>
    <row r="481" spans="1:14" s="418" customFormat="1">
      <c r="A481" s="681"/>
      <c r="B481" s="681"/>
      <c r="C481" s="681"/>
      <c r="D481" s="682"/>
      <c r="E481" s="637"/>
      <c r="F481" s="684"/>
      <c r="G481" s="685"/>
      <c r="H481" s="416"/>
      <c r="I481" s="416"/>
      <c r="J481" s="416"/>
      <c r="K481" s="416"/>
      <c r="L481" s="416"/>
      <c r="M481" s="416"/>
      <c r="N481" s="416"/>
    </row>
    <row r="482" spans="1:14" s="418" customFormat="1">
      <c r="A482" s="681"/>
      <c r="B482" s="681"/>
      <c r="C482" s="681"/>
      <c r="D482" s="682"/>
      <c r="E482" s="637"/>
      <c r="F482" s="684"/>
      <c r="G482" s="685"/>
      <c r="H482" s="416"/>
      <c r="I482" s="416"/>
      <c r="J482" s="416"/>
      <c r="K482" s="416"/>
      <c r="L482" s="416"/>
      <c r="M482" s="416"/>
      <c r="N482" s="416"/>
    </row>
    <row r="483" spans="1:14" s="418" customFormat="1">
      <c r="A483" s="681"/>
      <c r="B483" s="681"/>
      <c r="C483" s="681"/>
      <c r="D483" s="682"/>
      <c r="E483" s="637"/>
      <c r="F483" s="684"/>
      <c r="G483" s="685"/>
      <c r="H483" s="416"/>
      <c r="I483" s="416"/>
      <c r="J483" s="416"/>
      <c r="K483" s="416"/>
      <c r="L483" s="416"/>
      <c r="M483" s="416"/>
      <c r="N483" s="416"/>
    </row>
    <row r="484" spans="1:14" s="418" customFormat="1">
      <c r="A484" s="681"/>
      <c r="B484" s="681"/>
      <c r="C484" s="681"/>
      <c r="D484" s="682"/>
      <c r="E484" s="637"/>
      <c r="F484" s="684"/>
      <c r="G484" s="685"/>
      <c r="H484" s="416"/>
      <c r="I484" s="416"/>
      <c r="J484" s="416"/>
      <c r="K484" s="416"/>
      <c r="L484" s="416"/>
      <c r="M484" s="416"/>
      <c r="N484" s="416"/>
    </row>
    <row r="485" spans="1:14" s="418" customFormat="1">
      <c r="A485" s="681"/>
      <c r="B485" s="681"/>
      <c r="C485" s="681"/>
      <c r="D485" s="682"/>
      <c r="E485" s="637"/>
      <c r="F485" s="684"/>
      <c r="G485" s="685"/>
      <c r="H485" s="416"/>
      <c r="I485" s="416"/>
      <c r="J485" s="416"/>
      <c r="K485" s="416"/>
      <c r="L485" s="416"/>
      <c r="M485" s="416"/>
      <c r="N485" s="416"/>
    </row>
    <row r="486" spans="1:14" s="418" customFormat="1">
      <c r="A486" s="681"/>
      <c r="B486" s="681"/>
      <c r="C486" s="681"/>
      <c r="D486" s="682"/>
      <c r="E486" s="637"/>
      <c r="F486" s="684"/>
      <c r="G486" s="685"/>
      <c r="H486" s="416"/>
      <c r="I486" s="416"/>
      <c r="J486" s="416"/>
      <c r="K486" s="416"/>
      <c r="L486" s="416"/>
      <c r="M486" s="416"/>
      <c r="N486" s="416"/>
    </row>
    <row r="487" spans="1:14" s="418" customFormat="1">
      <c r="A487" s="681"/>
      <c r="B487" s="681"/>
      <c r="C487" s="681"/>
      <c r="D487" s="682"/>
      <c r="E487" s="637"/>
      <c r="F487" s="684"/>
      <c r="G487" s="685"/>
      <c r="H487" s="416"/>
      <c r="I487" s="416"/>
      <c r="J487" s="416"/>
      <c r="K487" s="416"/>
      <c r="L487" s="416"/>
      <c r="M487" s="416"/>
      <c r="N487" s="416"/>
    </row>
    <row r="488" spans="1:14" s="418" customFormat="1">
      <c r="A488" s="681"/>
      <c r="B488" s="681"/>
      <c r="C488" s="681"/>
      <c r="D488" s="682"/>
      <c r="E488" s="637"/>
      <c r="F488" s="684"/>
      <c r="G488" s="685"/>
      <c r="H488" s="416"/>
      <c r="I488" s="416"/>
      <c r="J488" s="416"/>
      <c r="K488" s="416"/>
      <c r="L488" s="416"/>
      <c r="M488" s="416"/>
      <c r="N488" s="416"/>
    </row>
    <row r="489" spans="1:14" s="418" customFormat="1">
      <c r="A489" s="681"/>
      <c r="B489" s="681"/>
      <c r="C489" s="681"/>
      <c r="D489" s="682"/>
      <c r="E489" s="637"/>
      <c r="F489" s="684"/>
      <c r="G489" s="685"/>
      <c r="H489" s="416"/>
      <c r="I489" s="416"/>
      <c r="J489" s="416"/>
      <c r="K489" s="416"/>
      <c r="L489" s="416"/>
      <c r="M489" s="416"/>
      <c r="N489" s="416"/>
    </row>
    <row r="490" spans="1:14" s="418" customFormat="1">
      <c r="A490" s="681"/>
      <c r="B490" s="681"/>
      <c r="C490" s="681"/>
      <c r="D490" s="682"/>
      <c r="E490" s="637"/>
      <c r="F490" s="684"/>
      <c r="G490" s="685"/>
      <c r="H490" s="416"/>
      <c r="I490" s="416"/>
      <c r="J490" s="416"/>
      <c r="K490" s="416"/>
      <c r="L490" s="416"/>
      <c r="M490" s="416"/>
      <c r="N490" s="416"/>
    </row>
    <row r="491" spans="1:14" s="418" customFormat="1">
      <c r="A491" s="681"/>
      <c r="B491" s="681"/>
      <c r="C491" s="681"/>
      <c r="D491" s="682"/>
      <c r="E491" s="637"/>
      <c r="F491" s="684"/>
      <c r="G491" s="685"/>
      <c r="H491" s="416"/>
      <c r="I491" s="416"/>
      <c r="J491" s="416"/>
      <c r="K491" s="416"/>
      <c r="L491" s="416"/>
      <c r="M491" s="416"/>
      <c r="N491" s="416"/>
    </row>
    <row r="492" spans="1:14" s="418" customFormat="1">
      <c r="A492" s="681"/>
      <c r="B492" s="681"/>
      <c r="C492" s="681"/>
      <c r="D492" s="682"/>
      <c r="E492" s="637"/>
      <c r="F492" s="684"/>
      <c r="G492" s="685"/>
      <c r="H492" s="416"/>
      <c r="I492" s="416"/>
      <c r="J492" s="416"/>
      <c r="K492" s="416"/>
      <c r="L492" s="416"/>
      <c r="M492" s="416"/>
      <c r="N492" s="416"/>
    </row>
    <row r="493" spans="1:14" s="418" customFormat="1">
      <c r="A493" s="681"/>
      <c r="B493" s="681"/>
      <c r="C493" s="681"/>
      <c r="D493" s="682"/>
      <c r="E493" s="637"/>
      <c r="F493" s="684"/>
      <c r="G493" s="685"/>
      <c r="H493" s="416"/>
      <c r="I493" s="416"/>
      <c r="J493" s="416"/>
      <c r="K493" s="416"/>
      <c r="L493" s="416"/>
      <c r="M493" s="416"/>
      <c r="N493" s="416"/>
    </row>
    <row r="494" spans="1:14" s="418" customFormat="1">
      <c r="A494" s="681"/>
      <c r="B494" s="681"/>
      <c r="C494" s="681"/>
      <c r="D494" s="682"/>
      <c r="E494" s="637"/>
      <c r="F494" s="684"/>
      <c r="G494" s="685"/>
      <c r="H494" s="416"/>
      <c r="I494" s="416"/>
      <c r="J494" s="416"/>
      <c r="K494" s="416"/>
      <c r="L494" s="416"/>
      <c r="M494" s="416"/>
      <c r="N494" s="416"/>
    </row>
    <row r="495" spans="1:14" s="418" customFormat="1">
      <c r="A495" s="681"/>
      <c r="B495" s="681"/>
      <c r="C495" s="681"/>
      <c r="D495" s="682"/>
      <c r="E495" s="637"/>
      <c r="F495" s="684"/>
      <c r="G495" s="685"/>
      <c r="H495" s="416"/>
      <c r="I495" s="416"/>
      <c r="J495" s="416"/>
      <c r="K495" s="416"/>
      <c r="L495" s="416"/>
      <c r="M495" s="416"/>
      <c r="N495" s="416"/>
    </row>
    <row r="496" spans="1:14" s="418" customFormat="1">
      <c r="A496" s="681"/>
      <c r="B496" s="681"/>
      <c r="C496" s="681"/>
      <c r="D496" s="682"/>
      <c r="E496" s="637"/>
      <c r="F496" s="684"/>
      <c r="G496" s="685"/>
      <c r="H496" s="416"/>
      <c r="I496" s="416"/>
      <c r="J496" s="416"/>
      <c r="K496" s="416"/>
      <c r="L496" s="416"/>
      <c r="M496" s="416"/>
      <c r="N496" s="416"/>
    </row>
    <row r="497" spans="1:14" s="418" customFormat="1">
      <c r="A497" s="681"/>
      <c r="B497" s="681"/>
      <c r="C497" s="681"/>
      <c r="D497" s="682"/>
      <c r="E497" s="637"/>
      <c r="F497" s="684"/>
      <c r="G497" s="685"/>
      <c r="H497" s="416"/>
      <c r="I497" s="416"/>
      <c r="J497" s="416"/>
      <c r="K497" s="416"/>
      <c r="L497" s="416"/>
      <c r="M497" s="416"/>
      <c r="N497" s="416"/>
    </row>
    <row r="498" spans="1:14" s="418" customFormat="1">
      <c r="A498" s="681"/>
      <c r="B498" s="681"/>
      <c r="C498" s="681"/>
      <c r="D498" s="682"/>
      <c r="E498" s="637"/>
      <c r="F498" s="684"/>
      <c r="G498" s="685"/>
      <c r="H498" s="416"/>
      <c r="I498" s="416"/>
      <c r="J498" s="416"/>
      <c r="K498" s="416"/>
      <c r="L498" s="416"/>
      <c r="M498" s="416"/>
      <c r="N498" s="416"/>
    </row>
    <row r="499" spans="1:14" s="418" customFormat="1">
      <c r="A499" s="681"/>
      <c r="B499" s="681"/>
      <c r="C499" s="681"/>
      <c r="D499" s="682"/>
      <c r="E499" s="637"/>
      <c r="F499" s="684"/>
      <c r="G499" s="685"/>
      <c r="H499" s="416"/>
      <c r="I499" s="416"/>
      <c r="J499" s="416"/>
      <c r="K499" s="416"/>
      <c r="L499" s="416"/>
      <c r="M499" s="416"/>
      <c r="N499" s="416"/>
    </row>
    <row r="500" spans="1:14" s="418" customFormat="1">
      <c r="A500" s="681"/>
      <c r="B500" s="681"/>
      <c r="C500" s="681"/>
      <c r="D500" s="682"/>
      <c r="E500" s="637"/>
      <c r="F500" s="684"/>
      <c r="G500" s="685"/>
      <c r="H500" s="416"/>
      <c r="I500" s="416"/>
      <c r="J500" s="416"/>
      <c r="K500" s="416"/>
      <c r="L500" s="416"/>
      <c r="M500" s="416"/>
      <c r="N500" s="416"/>
    </row>
    <row r="501" spans="1:14" s="418" customFormat="1">
      <c r="A501" s="681"/>
      <c r="B501" s="681"/>
      <c r="C501" s="681"/>
      <c r="D501" s="682"/>
      <c r="E501" s="637"/>
      <c r="F501" s="684"/>
      <c r="G501" s="685"/>
      <c r="H501" s="416"/>
      <c r="I501" s="416"/>
      <c r="J501" s="416"/>
      <c r="K501" s="416"/>
      <c r="L501" s="416"/>
      <c r="M501" s="416"/>
      <c r="N501" s="416"/>
    </row>
    <row r="502" spans="1:14" s="418" customFormat="1">
      <c r="A502" s="681"/>
      <c r="B502" s="681"/>
      <c r="C502" s="681"/>
      <c r="D502" s="682"/>
      <c r="E502" s="637"/>
      <c r="F502" s="684"/>
      <c r="G502" s="685"/>
      <c r="H502" s="416"/>
      <c r="I502" s="416"/>
      <c r="J502" s="416"/>
      <c r="K502" s="416"/>
      <c r="L502" s="416"/>
      <c r="M502" s="416"/>
      <c r="N502" s="416"/>
    </row>
    <row r="503" spans="1:14" s="418" customFormat="1">
      <c r="A503" s="681"/>
      <c r="B503" s="681"/>
      <c r="C503" s="681"/>
      <c r="D503" s="682"/>
      <c r="E503" s="637"/>
      <c r="F503" s="684"/>
      <c r="G503" s="685"/>
      <c r="H503" s="416"/>
      <c r="I503" s="416"/>
      <c r="J503" s="416"/>
      <c r="K503" s="416"/>
      <c r="L503" s="416"/>
      <c r="M503" s="416"/>
      <c r="N503" s="416"/>
    </row>
    <row r="504" spans="1:14" s="418" customFormat="1">
      <c r="A504" s="681"/>
      <c r="B504" s="681"/>
      <c r="C504" s="681"/>
      <c r="D504" s="682"/>
      <c r="E504" s="637"/>
      <c r="F504" s="684"/>
      <c r="G504" s="685"/>
      <c r="H504" s="416"/>
      <c r="I504" s="416"/>
      <c r="J504" s="416"/>
      <c r="K504" s="416"/>
      <c r="L504" s="416"/>
      <c r="M504" s="416"/>
      <c r="N504" s="416"/>
    </row>
    <row r="505" spans="1:14" s="418" customFormat="1">
      <c r="A505" s="681"/>
      <c r="B505" s="681"/>
      <c r="C505" s="681"/>
      <c r="D505" s="682"/>
      <c r="E505" s="637"/>
      <c r="F505" s="684"/>
      <c r="G505" s="685"/>
      <c r="H505" s="416"/>
      <c r="I505" s="416"/>
      <c r="J505" s="416"/>
      <c r="K505" s="416"/>
      <c r="L505" s="416"/>
      <c r="M505" s="416"/>
      <c r="N505" s="416"/>
    </row>
    <row r="506" spans="1:14" s="418" customFormat="1">
      <c r="A506" s="681"/>
      <c r="B506" s="681"/>
      <c r="C506" s="681"/>
      <c r="D506" s="682"/>
      <c r="E506" s="637"/>
      <c r="F506" s="684"/>
      <c r="G506" s="685"/>
      <c r="H506" s="416"/>
      <c r="I506" s="416"/>
      <c r="J506" s="416"/>
      <c r="K506" s="416"/>
      <c r="L506" s="416"/>
      <c r="M506" s="416"/>
      <c r="N506" s="416"/>
    </row>
    <row r="507" spans="1:14" s="418" customFormat="1">
      <c r="A507" s="681"/>
      <c r="B507" s="681"/>
      <c r="C507" s="681"/>
      <c r="D507" s="682"/>
      <c r="E507" s="637"/>
      <c r="F507" s="684"/>
      <c r="G507" s="685"/>
      <c r="H507" s="416"/>
      <c r="I507" s="416"/>
      <c r="J507" s="416"/>
      <c r="K507" s="416"/>
      <c r="L507" s="416"/>
      <c r="M507" s="416"/>
      <c r="N507" s="416"/>
    </row>
    <row r="508" spans="1:14" s="418" customFormat="1">
      <c r="A508" s="681"/>
      <c r="B508" s="681"/>
      <c r="C508" s="681"/>
      <c r="D508" s="682"/>
      <c r="E508" s="637"/>
      <c r="F508" s="684"/>
      <c r="G508" s="685"/>
      <c r="H508" s="416"/>
      <c r="I508" s="416"/>
      <c r="J508" s="416"/>
      <c r="K508" s="416"/>
      <c r="L508" s="416"/>
      <c r="M508" s="416"/>
      <c r="N508" s="416"/>
    </row>
    <row r="509" spans="1:14" s="418" customFormat="1">
      <c r="A509" s="681"/>
      <c r="B509" s="681"/>
      <c r="C509" s="681"/>
      <c r="D509" s="682"/>
      <c r="E509" s="637"/>
      <c r="F509" s="684"/>
      <c r="G509" s="685"/>
      <c r="H509" s="416"/>
      <c r="I509" s="416"/>
      <c r="J509" s="416"/>
      <c r="K509" s="416"/>
      <c r="L509" s="416"/>
      <c r="M509" s="416"/>
      <c r="N509" s="416"/>
    </row>
    <row r="510" spans="1:14" s="418" customFormat="1">
      <c r="A510" s="681"/>
      <c r="B510" s="681"/>
      <c r="C510" s="681"/>
      <c r="D510" s="682"/>
      <c r="E510" s="637"/>
      <c r="F510" s="684"/>
      <c r="G510" s="685"/>
      <c r="H510" s="416"/>
      <c r="I510" s="416"/>
      <c r="J510" s="416"/>
      <c r="K510" s="416"/>
      <c r="L510" s="416"/>
      <c r="M510" s="416"/>
      <c r="N510" s="416"/>
    </row>
    <row r="511" spans="1:14" s="418" customFormat="1">
      <c r="A511" s="681"/>
      <c r="B511" s="681"/>
      <c r="C511" s="681"/>
      <c r="D511" s="682"/>
      <c r="E511" s="637"/>
      <c r="F511" s="684"/>
      <c r="G511" s="685"/>
      <c r="H511" s="416"/>
      <c r="I511" s="416"/>
      <c r="J511" s="416"/>
      <c r="K511" s="416"/>
      <c r="L511" s="416"/>
      <c r="M511" s="416"/>
      <c r="N511" s="416"/>
    </row>
    <row r="512" spans="1:14" s="418" customFormat="1">
      <c r="A512" s="681"/>
      <c r="B512" s="681"/>
      <c r="C512" s="681"/>
      <c r="D512" s="682"/>
      <c r="E512" s="637"/>
      <c r="F512" s="684"/>
      <c r="G512" s="685"/>
      <c r="H512" s="416"/>
      <c r="I512" s="416"/>
      <c r="J512" s="416"/>
      <c r="K512" s="416"/>
      <c r="L512" s="416"/>
      <c r="M512" s="416"/>
      <c r="N512" s="416"/>
    </row>
    <row r="513" spans="1:14" s="418" customFormat="1">
      <c r="A513" s="681"/>
      <c r="B513" s="681"/>
      <c r="C513" s="681"/>
      <c r="D513" s="682"/>
      <c r="E513" s="637"/>
      <c r="F513" s="684"/>
      <c r="G513" s="685"/>
      <c r="H513" s="416"/>
      <c r="I513" s="416"/>
      <c r="J513" s="416"/>
      <c r="K513" s="416"/>
      <c r="L513" s="416"/>
      <c r="M513" s="416"/>
      <c r="N513" s="416"/>
    </row>
    <row r="514" spans="1:14" s="418" customFormat="1">
      <c r="A514" s="681"/>
      <c r="B514" s="681"/>
      <c r="C514" s="681"/>
      <c r="D514" s="682"/>
      <c r="E514" s="637"/>
      <c r="F514" s="684"/>
      <c r="G514" s="685"/>
      <c r="H514" s="416"/>
      <c r="I514" s="416"/>
      <c r="J514" s="416"/>
      <c r="K514" s="416"/>
      <c r="L514" s="416"/>
      <c r="M514" s="416"/>
      <c r="N514" s="416"/>
    </row>
    <row r="515" spans="1:14" s="418" customFormat="1">
      <c r="A515" s="681"/>
      <c r="B515" s="681"/>
      <c r="C515" s="681"/>
      <c r="D515" s="682"/>
      <c r="E515" s="637"/>
      <c r="F515" s="684"/>
      <c r="G515" s="685"/>
      <c r="H515" s="416"/>
      <c r="I515" s="416"/>
      <c r="J515" s="416"/>
      <c r="K515" s="416"/>
      <c r="L515" s="416"/>
      <c r="M515" s="416"/>
      <c r="N515" s="416"/>
    </row>
    <row r="516" spans="1:14" s="418" customFormat="1">
      <c r="A516" s="681"/>
      <c r="B516" s="681"/>
      <c r="C516" s="681"/>
      <c r="D516" s="682"/>
      <c r="E516" s="637"/>
      <c r="F516" s="684"/>
      <c r="G516" s="685"/>
      <c r="H516" s="416"/>
      <c r="I516" s="416"/>
      <c r="J516" s="416"/>
      <c r="K516" s="416"/>
      <c r="L516" s="416"/>
      <c r="M516" s="416"/>
      <c r="N516" s="416"/>
    </row>
    <row r="517" spans="1:14" s="418" customFormat="1">
      <c r="A517" s="681"/>
      <c r="B517" s="681"/>
      <c r="C517" s="681"/>
      <c r="D517" s="682"/>
      <c r="E517" s="637"/>
      <c r="F517" s="684"/>
      <c r="G517" s="685"/>
      <c r="H517" s="416"/>
      <c r="I517" s="416"/>
      <c r="J517" s="416"/>
      <c r="K517" s="416"/>
      <c r="L517" s="416"/>
      <c r="M517" s="416"/>
      <c r="N517" s="416"/>
    </row>
    <row r="518" spans="1:14" s="418" customFormat="1">
      <c r="A518" s="681"/>
      <c r="B518" s="681"/>
      <c r="C518" s="681"/>
      <c r="D518" s="682"/>
      <c r="E518" s="637"/>
      <c r="F518" s="684"/>
      <c r="G518" s="685"/>
      <c r="H518" s="416"/>
      <c r="I518" s="416"/>
      <c r="J518" s="416"/>
      <c r="K518" s="416"/>
      <c r="L518" s="416"/>
      <c r="M518" s="416"/>
      <c r="N518" s="416"/>
    </row>
    <row r="519" spans="1:14" s="418" customFormat="1">
      <c r="A519" s="681"/>
      <c r="B519" s="681"/>
      <c r="C519" s="681"/>
      <c r="D519" s="682"/>
      <c r="E519" s="637"/>
      <c r="F519" s="684"/>
      <c r="G519" s="685"/>
      <c r="H519" s="416"/>
      <c r="I519" s="416"/>
      <c r="J519" s="416"/>
      <c r="K519" s="416"/>
      <c r="L519" s="416"/>
      <c r="M519" s="416"/>
      <c r="N519" s="416"/>
    </row>
    <row r="520" spans="1:14" s="418" customFormat="1">
      <c r="A520" s="681"/>
      <c r="B520" s="681"/>
      <c r="C520" s="681"/>
      <c r="D520" s="682"/>
      <c r="E520" s="637"/>
      <c r="F520" s="684"/>
      <c r="G520" s="685"/>
      <c r="H520" s="416"/>
      <c r="I520" s="416"/>
      <c r="J520" s="416"/>
      <c r="K520" s="416"/>
      <c r="L520" s="416"/>
      <c r="M520" s="416"/>
      <c r="N520" s="416"/>
    </row>
    <row r="521" spans="1:14" s="418" customFormat="1">
      <c r="A521" s="681"/>
      <c r="B521" s="681"/>
      <c r="C521" s="681"/>
      <c r="D521" s="682"/>
      <c r="E521" s="637"/>
      <c r="F521" s="684"/>
      <c r="G521" s="685"/>
      <c r="H521" s="416"/>
      <c r="I521" s="416"/>
      <c r="J521" s="416"/>
      <c r="K521" s="416"/>
      <c r="L521" s="416"/>
      <c r="M521" s="416"/>
      <c r="N521" s="416"/>
    </row>
    <row r="522" spans="1:14" s="418" customFormat="1">
      <c r="A522" s="681"/>
      <c r="B522" s="681"/>
      <c r="C522" s="681"/>
      <c r="D522" s="682"/>
      <c r="E522" s="637"/>
      <c r="F522" s="684"/>
      <c r="G522" s="685"/>
      <c r="H522" s="416"/>
      <c r="I522" s="416"/>
      <c r="J522" s="416"/>
      <c r="K522" s="416"/>
      <c r="L522" s="416"/>
      <c r="M522" s="416"/>
      <c r="N522" s="416"/>
    </row>
    <row r="523" spans="1:14" s="418" customFormat="1">
      <c r="A523" s="681"/>
      <c r="B523" s="681"/>
      <c r="C523" s="681"/>
      <c r="D523" s="682"/>
      <c r="E523" s="637"/>
      <c r="F523" s="684"/>
      <c r="G523" s="685"/>
      <c r="H523" s="416"/>
      <c r="I523" s="416"/>
      <c r="J523" s="416"/>
      <c r="K523" s="416"/>
      <c r="L523" s="416"/>
      <c r="M523" s="416"/>
      <c r="N523" s="416"/>
    </row>
    <row r="524" spans="1:14" s="418" customFormat="1">
      <c r="A524" s="681"/>
      <c r="B524" s="681"/>
      <c r="C524" s="681"/>
      <c r="D524" s="682"/>
      <c r="E524" s="637"/>
      <c r="F524" s="684"/>
      <c r="G524" s="685"/>
      <c r="H524" s="416"/>
      <c r="I524" s="416"/>
      <c r="J524" s="416"/>
      <c r="K524" s="416"/>
      <c r="L524" s="416"/>
      <c r="M524" s="416"/>
      <c r="N524" s="416"/>
    </row>
    <row r="525" spans="1:14" s="418" customFormat="1">
      <c r="A525" s="681"/>
      <c r="B525" s="681"/>
      <c r="C525" s="681"/>
      <c r="D525" s="682"/>
      <c r="E525" s="637"/>
      <c r="F525" s="684"/>
      <c r="G525" s="685"/>
      <c r="H525" s="416"/>
      <c r="I525" s="416"/>
      <c r="J525" s="416"/>
      <c r="K525" s="416"/>
      <c r="L525" s="416"/>
      <c r="M525" s="416"/>
      <c r="N525" s="416"/>
    </row>
    <row r="526" spans="1:14" s="418" customFormat="1">
      <c r="A526" s="681"/>
      <c r="B526" s="681"/>
      <c r="C526" s="681"/>
      <c r="D526" s="682"/>
      <c r="E526" s="637"/>
      <c r="F526" s="684"/>
      <c r="G526" s="685"/>
      <c r="H526" s="416"/>
      <c r="I526" s="416"/>
      <c r="J526" s="416"/>
      <c r="K526" s="416"/>
      <c r="L526" s="416"/>
      <c r="M526" s="416"/>
      <c r="N526" s="416"/>
    </row>
    <row r="527" spans="1:14" s="418" customFormat="1">
      <c r="A527" s="681"/>
      <c r="B527" s="681"/>
      <c r="C527" s="681"/>
      <c r="D527" s="682"/>
      <c r="E527" s="637"/>
      <c r="F527" s="684"/>
      <c r="G527" s="685"/>
      <c r="H527" s="416"/>
      <c r="I527" s="416"/>
      <c r="J527" s="416"/>
      <c r="K527" s="416"/>
      <c r="L527" s="416"/>
      <c r="M527" s="416"/>
      <c r="N527" s="416"/>
    </row>
    <row r="528" spans="1:14" s="418" customFormat="1">
      <c r="A528" s="681"/>
      <c r="B528" s="681"/>
      <c r="C528" s="681"/>
      <c r="D528" s="682"/>
      <c r="E528" s="637"/>
      <c r="F528" s="684"/>
      <c r="G528" s="685"/>
      <c r="H528" s="416"/>
      <c r="I528" s="416"/>
      <c r="J528" s="416"/>
      <c r="K528" s="416"/>
      <c r="L528" s="416"/>
      <c r="M528" s="416"/>
      <c r="N528" s="416"/>
    </row>
    <row r="529" spans="1:14" s="418" customFormat="1">
      <c r="A529" s="681"/>
      <c r="B529" s="681"/>
      <c r="C529" s="681"/>
      <c r="D529" s="682"/>
      <c r="E529" s="637"/>
      <c r="F529" s="684"/>
      <c r="G529" s="685"/>
      <c r="H529" s="416"/>
      <c r="I529" s="416"/>
      <c r="J529" s="416"/>
      <c r="K529" s="416"/>
      <c r="L529" s="416"/>
      <c r="M529" s="416"/>
      <c r="N529" s="416"/>
    </row>
    <row r="530" spans="1:14" s="418" customFormat="1">
      <c r="A530" s="681"/>
      <c r="B530" s="681"/>
      <c r="C530" s="681"/>
      <c r="D530" s="682"/>
      <c r="E530" s="637"/>
      <c r="F530" s="684"/>
      <c r="G530" s="685"/>
      <c r="H530" s="416"/>
      <c r="I530" s="416"/>
      <c r="J530" s="416"/>
      <c r="K530" s="416"/>
      <c r="L530" s="416"/>
      <c r="M530" s="416"/>
      <c r="N530" s="416"/>
    </row>
    <row r="531" spans="1:14" s="418" customFormat="1">
      <c r="A531" s="681"/>
      <c r="B531" s="681"/>
      <c r="C531" s="681"/>
      <c r="D531" s="682"/>
      <c r="E531" s="637"/>
      <c r="F531" s="684"/>
      <c r="G531" s="685"/>
      <c r="H531" s="416"/>
      <c r="I531" s="416"/>
      <c r="J531" s="416"/>
      <c r="K531" s="416"/>
      <c r="L531" s="416"/>
      <c r="M531" s="416"/>
      <c r="N531" s="416"/>
    </row>
    <row r="532" spans="1:14" s="418" customFormat="1">
      <c r="A532" s="681"/>
      <c r="B532" s="681"/>
      <c r="C532" s="681"/>
      <c r="D532" s="682"/>
      <c r="E532" s="637"/>
      <c r="F532" s="684"/>
      <c r="G532" s="685"/>
      <c r="H532" s="416"/>
      <c r="I532" s="416"/>
      <c r="J532" s="416"/>
      <c r="K532" s="416"/>
      <c r="L532" s="416"/>
      <c r="M532" s="416"/>
      <c r="N532" s="416"/>
    </row>
    <row r="533" spans="1:14" s="418" customFormat="1">
      <c r="A533" s="681"/>
      <c r="B533" s="681"/>
      <c r="C533" s="681"/>
      <c r="D533" s="682"/>
      <c r="E533" s="637"/>
      <c r="F533" s="684"/>
      <c r="G533" s="685"/>
      <c r="H533" s="416"/>
      <c r="I533" s="416"/>
      <c r="J533" s="416"/>
      <c r="K533" s="416"/>
      <c r="L533" s="416"/>
      <c r="M533" s="416"/>
      <c r="N533" s="416"/>
    </row>
    <row r="534" spans="1:14" s="418" customFormat="1">
      <c r="A534" s="681"/>
      <c r="B534" s="681"/>
      <c r="C534" s="681"/>
      <c r="D534" s="682"/>
      <c r="E534" s="637"/>
      <c r="F534" s="684"/>
      <c r="G534" s="685"/>
      <c r="H534" s="416"/>
      <c r="I534" s="416"/>
      <c r="J534" s="416"/>
      <c r="K534" s="416"/>
      <c r="L534" s="416"/>
      <c r="M534" s="416"/>
      <c r="N534" s="416"/>
    </row>
    <row r="535" spans="1:14" s="418" customFormat="1">
      <c r="A535" s="681"/>
      <c r="B535" s="681"/>
      <c r="C535" s="681"/>
      <c r="D535" s="682"/>
      <c r="E535" s="637"/>
      <c r="F535" s="684"/>
      <c r="G535" s="685"/>
      <c r="H535" s="416"/>
      <c r="I535" s="416"/>
      <c r="J535" s="416"/>
      <c r="K535" s="416"/>
      <c r="L535" s="416"/>
      <c r="M535" s="416"/>
      <c r="N535" s="416"/>
    </row>
    <row r="536" spans="1:14" s="418" customFormat="1">
      <c r="A536" s="681"/>
      <c r="B536" s="681"/>
      <c r="C536" s="681"/>
      <c r="D536" s="682"/>
      <c r="E536" s="637"/>
      <c r="F536" s="684"/>
      <c r="G536" s="685"/>
      <c r="H536" s="416"/>
      <c r="I536" s="416"/>
      <c r="J536" s="416"/>
      <c r="K536" s="416"/>
      <c r="L536" s="416"/>
      <c r="M536" s="416"/>
      <c r="N536" s="416"/>
    </row>
    <row r="537" spans="1:14" s="418" customFormat="1">
      <c r="A537" s="681"/>
      <c r="B537" s="681"/>
      <c r="C537" s="681"/>
      <c r="D537" s="682"/>
      <c r="E537" s="637"/>
      <c r="F537" s="684"/>
      <c r="G537" s="685"/>
      <c r="H537" s="416"/>
      <c r="I537" s="416"/>
      <c r="J537" s="416"/>
      <c r="K537" s="416"/>
      <c r="L537" s="416"/>
      <c r="M537" s="416"/>
      <c r="N537" s="416"/>
    </row>
    <row r="538" spans="1:14" s="418" customFormat="1">
      <c r="A538" s="681"/>
      <c r="B538" s="681"/>
      <c r="C538" s="681"/>
      <c r="D538" s="682"/>
      <c r="E538" s="637"/>
      <c r="F538" s="684"/>
      <c r="G538" s="685"/>
      <c r="H538" s="416"/>
      <c r="I538" s="416"/>
      <c r="J538" s="416"/>
      <c r="K538" s="416"/>
      <c r="L538" s="416"/>
      <c r="M538" s="416"/>
      <c r="N538" s="416"/>
    </row>
    <row r="539" spans="1:14" s="418" customFormat="1">
      <c r="A539" s="681"/>
      <c r="B539" s="681"/>
      <c r="C539" s="681"/>
      <c r="D539" s="682"/>
      <c r="E539" s="637"/>
      <c r="F539" s="684"/>
      <c r="G539" s="685"/>
      <c r="H539" s="416"/>
      <c r="I539" s="416"/>
      <c r="J539" s="416"/>
      <c r="K539" s="416"/>
      <c r="L539" s="416"/>
      <c r="M539" s="416"/>
      <c r="N539" s="416"/>
    </row>
    <row r="540" spans="1:14" s="418" customFormat="1">
      <c r="A540" s="681"/>
      <c r="B540" s="681"/>
      <c r="C540" s="681"/>
      <c r="D540" s="682"/>
      <c r="E540" s="637"/>
      <c r="F540" s="684"/>
      <c r="G540" s="685"/>
      <c r="H540" s="416"/>
      <c r="I540" s="416"/>
      <c r="J540" s="416"/>
      <c r="K540" s="416"/>
      <c r="L540" s="416"/>
      <c r="M540" s="416"/>
      <c r="N540" s="416"/>
    </row>
    <row r="541" spans="1:14" s="418" customFormat="1">
      <c r="A541" s="681"/>
      <c r="B541" s="681"/>
      <c r="C541" s="681"/>
      <c r="D541" s="682"/>
      <c r="E541" s="637"/>
      <c r="F541" s="684"/>
      <c r="G541" s="685"/>
      <c r="H541" s="416"/>
      <c r="I541" s="416"/>
      <c r="J541" s="416"/>
      <c r="K541" s="416"/>
      <c r="L541" s="416"/>
      <c r="M541" s="416"/>
      <c r="N541" s="416"/>
    </row>
    <row r="542" spans="1:14" s="418" customFormat="1">
      <c r="A542" s="681"/>
      <c r="B542" s="681"/>
      <c r="C542" s="681"/>
      <c r="D542" s="682"/>
      <c r="E542" s="637"/>
      <c r="F542" s="684"/>
      <c r="G542" s="685"/>
      <c r="H542" s="416"/>
      <c r="I542" s="416"/>
      <c r="J542" s="416"/>
      <c r="K542" s="416"/>
      <c r="L542" s="416"/>
      <c r="M542" s="416"/>
      <c r="N542" s="416"/>
    </row>
    <row r="543" spans="1:14" s="418" customFormat="1">
      <c r="A543" s="681"/>
      <c r="B543" s="681"/>
      <c r="C543" s="681"/>
      <c r="D543" s="682"/>
      <c r="E543" s="637"/>
      <c r="F543" s="684"/>
      <c r="G543" s="685"/>
      <c r="H543" s="416"/>
      <c r="I543" s="416"/>
      <c r="J543" s="416"/>
      <c r="K543" s="416"/>
      <c r="L543" s="416"/>
      <c r="M543" s="416"/>
      <c r="N543" s="416"/>
    </row>
    <row r="544" spans="1:14" s="418" customFormat="1">
      <c r="A544" s="681"/>
      <c r="B544" s="681"/>
      <c r="C544" s="681"/>
      <c r="D544" s="682"/>
      <c r="E544" s="637"/>
      <c r="F544" s="684"/>
      <c r="G544" s="685"/>
      <c r="H544" s="416"/>
      <c r="I544" s="416"/>
      <c r="J544" s="416"/>
      <c r="K544" s="416"/>
      <c r="L544" s="416"/>
      <c r="M544" s="416"/>
      <c r="N544" s="416"/>
    </row>
    <row r="545" spans="1:14" s="418" customFormat="1">
      <c r="A545" s="681"/>
      <c r="B545" s="681"/>
      <c r="C545" s="681"/>
      <c r="D545" s="682"/>
      <c r="E545" s="637"/>
      <c r="F545" s="684"/>
      <c r="G545" s="685"/>
      <c r="H545" s="416"/>
      <c r="I545" s="416"/>
      <c r="J545" s="416"/>
      <c r="K545" s="416"/>
      <c r="L545" s="416"/>
      <c r="M545" s="416"/>
      <c r="N545" s="416"/>
    </row>
    <row r="546" spans="1:14" s="418" customFormat="1">
      <c r="A546" s="681"/>
      <c r="B546" s="681"/>
      <c r="C546" s="681"/>
      <c r="D546" s="682"/>
      <c r="E546" s="637"/>
      <c r="F546" s="684"/>
      <c r="G546" s="685"/>
      <c r="H546" s="416"/>
      <c r="I546" s="416"/>
      <c r="J546" s="416"/>
      <c r="K546" s="416"/>
      <c r="L546" s="416"/>
      <c r="M546" s="416"/>
      <c r="N546" s="416"/>
    </row>
    <row r="547" spans="1:14" s="418" customFormat="1">
      <c r="A547" s="681"/>
      <c r="B547" s="681"/>
      <c r="C547" s="681"/>
      <c r="D547" s="682"/>
      <c r="E547" s="637"/>
      <c r="F547" s="684"/>
      <c r="G547" s="685"/>
      <c r="H547" s="416"/>
      <c r="I547" s="416"/>
      <c r="J547" s="416"/>
      <c r="K547" s="416"/>
      <c r="L547" s="416"/>
      <c r="M547" s="416"/>
      <c r="N547" s="416"/>
    </row>
    <row r="548" spans="1:14" s="418" customFormat="1">
      <c r="A548" s="681"/>
      <c r="B548" s="681"/>
      <c r="C548" s="681"/>
      <c r="D548" s="682"/>
      <c r="E548" s="637"/>
      <c r="F548" s="684"/>
      <c r="G548" s="685"/>
      <c r="H548" s="416"/>
      <c r="I548" s="416"/>
      <c r="J548" s="416"/>
      <c r="K548" s="416"/>
      <c r="L548" s="416"/>
      <c r="M548" s="416"/>
      <c r="N548" s="416"/>
    </row>
    <row r="549" spans="1:14" s="418" customFormat="1">
      <c r="A549" s="681"/>
      <c r="B549" s="681"/>
      <c r="C549" s="681"/>
      <c r="D549" s="682"/>
      <c r="E549" s="637"/>
      <c r="F549" s="684"/>
      <c r="G549" s="685"/>
      <c r="H549" s="416"/>
      <c r="I549" s="416"/>
      <c r="J549" s="416"/>
      <c r="K549" s="416"/>
      <c r="L549" s="416"/>
      <c r="M549" s="416"/>
      <c r="N549" s="416"/>
    </row>
    <row r="550" spans="1:14" s="418" customFormat="1">
      <c r="A550" s="681"/>
      <c r="B550" s="681"/>
      <c r="C550" s="681"/>
      <c r="D550" s="682"/>
      <c r="E550" s="637"/>
      <c r="F550" s="684"/>
      <c r="G550" s="685"/>
      <c r="H550" s="416"/>
      <c r="I550" s="416"/>
      <c r="J550" s="416"/>
      <c r="K550" s="416"/>
      <c r="L550" s="416"/>
      <c r="M550" s="416"/>
      <c r="N550" s="416"/>
    </row>
    <row r="551" spans="1:14" s="418" customFormat="1">
      <c r="B551" s="686"/>
      <c r="E551" s="420"/>
      <c r="F551" s="420"/>
      <c r="H551" s="416"/>
      <c r="I551" s="416"/>
      <c r="J551" s="416"/>
      <c r="K551" s="416"/>
      <c r="L551" s="416"/>
      <c r="M551" s="416"/>
      <c r="N551" s="416"/>
    </row>
    <row r="552" spans="1:14" s="418" customFormat="1">
      <c r="B552" s="686"/>
      <c r="E552" s="420"/>
      <c r="F552" s="420"/>
      <c r="H552" s="416"/>
      <c r="I552" s="416"/>
      <c r="J552" s="416"/>
      <c r="K552" s="416"/>
      <c r="L552" s="416"/>
      <c r="M552" s="416"/>
      <c r="N552" s="416"/>
    </row>
    <row r="553" spans="1:14" s="418" customFormat="1">
      <c r="B553" s="686"/>
      <c r="E553" s="420"/>
      <c r="F553" s="420"/>
      <c r="H553" s="416"/>
      <c r="I553" s="416"/>
      <c r="J553" s="416"/>
      <c r="K553" s="416"/>
      <c r="L553" s="416"/>
      <c r="M553" s="416"/>
      <c r="N553" s="416"/>
    </row>
    <row r="554" spans="1:14" s="418" customFormat="1">
      <c r="A554" s="416"/>
      <c r="B554" s="416"/>
      <c r="C554" s="416"/>
      <c r="D554" s="416"/>
      <c r="E554" s="416"/>
      <c r="H554" s="416"/>
      <c r="I554" s="416"/>
      <c r="J554" s="416"/>
      <c r="K554" s="416"/>
      <c r="L554" s="416"/>
      <c r="M554" s="416"/>
      <c r="N554" s="416"/>
    </row>
    <row r="555" spans="1:14" s="418" customFormat="1">
      <c r="A555" s="473"/>
      <c r="E555" s="687"/>
      <c r="H555" s="416"/>
      <c r="I555" s="416"/>
      <c r="J555" s="416"/>
      <c r="K555" s="416"/>
      <c r="L555" s="416"/>
      <c r="M555" s="416"/>
      <c r="N555" s="416"/>
    </row>
    <row r="556" spans="1:14" s="418" customFormat="1" ht="13.2">
      <c r="A556" s="473"/>
      <c r="B556" s="688"/>
      <c r="E556" s="687"/>
      <c r="H556" s="416"/>
      <c r="I556" s="416"/>
      <c r="J556" s="416"/>
      <c r="K556" s="416"/>
      <c r="L556" s="416"/>
      <c r="M556" s="416"/>
      <c r="N556" s="416"/>
    </row>
    <row r="557" spans="1:14" s="418" customFormat="1">
      <c r="H557" s="416"/>
      <c r="I557" s="416"/>
      <c r="J557" s="416"/>
      <c r="K557" s="416"/>
      <c r="L557" s="416"/>
      <c r="M557" s="416"/>
      <c r="N557" s="416"/>
    </row>
    <row r="558" spans="1:14" s="418" customFormat="1">
      <c r="H558" s="416"/>
      <c r="I558" s="416"/>
      <c r="J558" s="416"/>
      <c r="K558" s="416"/>
      <c r="L558" s="416"/>
      <c r="M558" s="416"/>
      <c r="N558" s="416"/>
    </row>
    <row r="559" spans="1:14" s="418" customFormat="1">
      <c r="H559" s="416"/>
      <c r="I559" s="416"/>
      <c r="J559" s="416"/>
      <c r="K559" s="416"/>
      <c r="L559" s="416"/>
      <c r="M559" s="416"/>
      <c r="N559" s="416"/>
    </row>
    <row r="560" spans="1:14" s="418" customFormat="1">
      <c r="H560" s="416"/>
      <c r="I560" s="416"/>
      <c r="J560" s="416"/>
      <c r="K560" s="416"/>
      <c r="L560" s="416"/>
      <c r="M560" s="416"/>
      <c r="N560" s="416"/>
    </row>
    <row r="561" spans="8:14" s="418" customFormat="1">
      <c r="H561" s="416"/>
      <c r="I561" s="416"/>
      <c r="J561" s="416"/>
      <c r="K561" s="416"/>
      <c r="L561" s="416"/>
      <c r="M561" s="416"/>
      <c r="N561" s="416"/>
    </row>
    <row r="562" spans="8:14" s="418" customFormat="1">
      <c r="H562" s="416"/>
      <c r="I562" s="416"/>
      <c r="J562" s="416"/>
      <c r="K562" s="416"/>
      <c r="L562" s="416"/>
      <c r="M562" s="416"/>
      <c r="N562" s="416"/>
    </row>
    <row r="563" spans="8:14" s="418" customFormat="1">
      <c r="H563" s="416"/>
      <c r="I563" s="416"/>
      <c r="J563" s="416"/>
      <c r="K563" s="416"/>
      <c r="L563" s="416"/>
      <c r="M563" s="416"/>
      <c r="N563" s="416"/>
    </row>
    <row r="564" spans="8:14" s="418" customFormat="1">
      <c r="H564" s="416"/>
      <c r="I564" s="416"/>
      <c r="J564" s="416"/>
      <c r="K564" s="416"/>
      <c r="L564" s="416"/>
      <c r="M564" s="416"/>
      <c r="N564" s="416"/>
    </row>
    <row r="565" spans="8:14" s="418" customFormat="1">
      <c r="H565" s="416"/>
      <c r="I565" s="416"/>
      <c r="J565" s="416"/>
      <c r="K565" s="416"/>
      <c r="L565" s="416"/>
      <c r="M565" s="416"/>
      <c r="N565" s="416"/>
    </row>
    <row r="566" spans="8:14" s="418" customFormat="1">
      <c r="H566" s="416"/>
      <c r="I566" s="416"/>
      <c r="J566" s="416"/>
      <c r="K566" s="416"/>
      <c r="L566" s="416"/>
      <c r="M566" s="416"/>
      <c r="N566" s="416"/>
    </row>
    <row r="567" spans="8:14" s="418" customFormat="1">
      <c r="H567" s="416"/>
      <c r="I567" s="416"/>
      <c r="J567" s="416"/>
      <c r="K567" s="416"/>
      <c r="L567" s="416"/>
      <c r="M567" s="416"/>
      <c r="N567" s="416"/>
    </row>
    <row r="568" spans="8:14" s="418" customFormat="1">
      <c r="H568" s="416"/>
      <c r="I568" s="416"/>
      <c r="J568" s="416"/>
      <c r="K568" s="416"/>
      <c r="L568" s="416"/>
      <c r="M568" s="416"/>
      <c r="N568" s="416"/>
    </row>
    <row r="569" spans="8:14" s="418" customFormat="1">
      <c r="H569" s="416"/>
      <c r="I569" s="416"/>
      <c r="J569" s="416"/>
      <c r="K569" s="416"/>
      <c r="L569" s="416"/>
      <c r="M569" s="416"/>
      <c r="N569" s="416"/>
    </row>
    <row r="570" spans="8:14" s="418" customFormat="1">
      <c r="H570" s="416"/>
      <c r="I570" s="416"/>
      <c r="J570" s="416"/>
      <c r="K570" s="416"/>
      <c r="L570" s="416"/>
      <c r="M570" s="416"/>
      <c r="N570" s="416"/>
    </row>
    <row r="571" spans="8:14" s="418" customFormat="1">
      <c r="H571" s="416"/>
      <c r="I571" s="416"/>
      <c r="J571" s="416"/>
      <c r="K571" s="416"/>
      <c r="L571" s="416"/>
      <c r="M571" s="416"/>
      <c r="N571" s="416"/>
    </row>
    <row r="572" spans="8:14" s="418" customFormat="1">
      <c r="H572" s="416"/>
      <c r="I572" s="416"/>
      <c r="J572" s="416"/>
      <c r="K572" s="416"/>
      <c r="L572" s="416"/>
      <c r="M572" s="416"/>
      <c r="N572" s="416"/>
    </row>
    <row r="573" spans="8:14" s="418" customFormat="1">
      <c r="H573" s="416"/>
      <c r="I573" s="416"/>
      <c r="J573" s="416"/>
      <c r="K573" s="416"/>
      <c r="L573" s="416"/>
      <c r="M573" s="416"/>
      <c r="N573" s="416"/>
    </row>
    <row r="574" spans="8:14" s="418" customFormat="1">
      <c r="H574" s="416"/>
      <c r="I574" s="416"/>
      <c r="J574" s="416"/>
      <c r="K574" s="416"/>
      <c r="L574" s="416"/>
      <c r="M574" s="416"/>
      <c r="N574" s="416"/>
    </row>
    <row r="575" spans="8:14" s="418" customFormat="1">
      <c r="H575" s="416"/>
      <c r="I575" s="416"/>
      <c r="J575" s="416"/>
      <c r="K575" s="416"/>
      <c r="L575" s="416"/>
      <c r="M575" s="416"/>
      <c r="N575" s="416"/>
    </row>
    <row r="576" spans="8:14" s="418" customFormat="1">
      <c r="H576" s="416"/>
      <c r="I576" s="416"/>
      <c r="J576" s="416"/>
      <c r="K576" s="416"/>
      <c r="L576" s="416"/>
      <c r="M576" s="416"/>
      <c r="N576" s="416"/>
    </row>
    <row r="577" spans="8:14" s="418" customFormat="1">
      <c r="H577" s="416"/>
      <c r="I577" s="416"/>
      <c r="J577" s="416"/>
      <c r="K577" s="416"/>
      <c r="L577" s="416"/>
      <c r="M577" s="416"/>
      <c r="N577" s="416"/>
    </row>
    <row r="578" spans="8:14" s="418" customFormat="1">
      <c r="H578" s="416"/>
      <c r="I578" s="416"/>
      <c r="J578" s="416"/>
      <c r="K578" s="416"/>
      <c r="L578" s="416"/>
      <c r="M578" s="416"/>
      <c r="N578" s="416"/>
    </row>
    <row r="579" spans="8:14" s="418" customFormat="1">
      <c r="H579" s="416"/>
      <c r="I579" s="416"/>
      <c r="J579" s="416"/>
      <c r="K579" s="416"/>
      <c r="L579" s="416"/>
      <c r="M579" s="416"/>
      <c r="N579" s="416"/>
    </row>
    <row r="580" spans="8:14" s="418" customFormat="1">
      <c r="H580" s="416"/>
      <c r="I580" s="416"/>
      <c r="J580" s="416"/>
      <c r="K580" s="416"/>
      <c r="L580" s="416"/>
      <c r="M580" s="416"/>
      <c r="N580" s="416"/>
    </row>
    <row r="581" spans="8:14" s="418" customFormat="1">
      <c r="H581" s="416"/>
      <c r="I581" s="416"/>
      <c r="J581" s="416"/>
      <c r="K581" s="416"/>
      <c r="L581" s="416"/>
      <c r="M581" s="416"/>
      <c r="N581" s="416"/>
    </row>
  </sheetData>
  <sheetProtection formatCells="0" formatColumns="0" formatRows="0" insertColumns="0" insertRows="0" insertHyperlinks="0" deleteColumns="0" deleteRows="0" sort="0" autoFilter="0" pivotTables="0"/>
  <mergeCells count="34">
    <mergeCell ref="C440:D440"/>
    <mergeCell ref="C441:D441"/>
    <mergeCell ref="C442:D442"/>
    <mergeCell ref="C443:D443"/>
    <mergeCell ref="A387:G387"/>
    <mergeCell ref="A424:G424"/>
    <mergeCell ref="C434:C436"/>
    <mergeCell ref="C437:D437"/>
    <mergeCell ref="C438:D438"/>
    <mergeCell ref="C439:D439"/>
    <mergeCell ref="A370:G370"/>
    <mergeCell ref="C75:D75"/>
    <mergeCell ref="C81:D81"/>
    <mergeCell ref="C82:D82"/>
    <mergeCell ref="C97:D97"/>
    <mergeCell ref="A128:G128"/>
    <mergeCell ref="C131:F131"/>
    <mergeCell ref="C141:F141"/>
    <mergeCell ref="A190:G190"/>
    <mergeCell ref="A192:G192"/>
    <mergeCell ref="A306:G306"/>
    <mergeCell ref="B321:D321"/>
    <mergeCell ref="C74:D74"/>
    <mergeCell ref="A1:G2"/>
    <mergeCell ref="A3:G4"/>
    <mergeCell ref="A11:G11"/>
    <mergeCell ref="B13:E13"/>
    <mergeCell ref="C16:D16"/>
    <mergeCell ref="C17:D17"/>
    <mergeCell ref="C18:D18"/>
    <mergeCell ref="B26:B31"/>
    <mergeCell ref="A33:G33"/>
    <mergeCell ref="A52:G52"/>
    <mergeCell ref="A54:G54"/>
  </mergeCells>
  <pageMargins left="0.51180555555555596" right="0.51180555555555596" top="0.78680555555555598" bottom="0.78680555555555598" header="0.31388888888888899" footer="0.31388888888888899"/>
  <pageSetup paperSize="9" scale="58" fitToHeight="6" orientation="portrait" r:id="rId1"/>
  <rowBreaks count="4" manualBreakCount="4">
    <brk id="101" max="6" man="1"/>
    <brk id="242" max="6" man="1"/>
    <brk id="346" max="6" man="1"/>
    <brk id="42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G13"/>
  <sheetViews>
    <sheetView tabSelected="1" view="pageBreakPreview" zoomScaleNormal="100" zoomScaleSheetLayoutView="100" workbookViewId="0">
      <selection activeCell="G13" sqref="G13"/>
    </sheetView>
  </sheetViews>
  <sheetFormatPr defaultColWidth="9.33203125" defaultRowHeight="13.2"/>
  <cols>
    <col min="1" max="1" width="9.88671875" style="260" customWidth="1"/>
    <col min="2" max="2" width="52" style="260" customWidth="1"/>
    <col min="3" max="3" width="16.6640625" style="260" customWidth="1"/>
    <col min="4" max="4" width="22.6640625" style="260" customWidth="1"/>
    <col min="5" max="5" width="19.109375" style="260" customWidth="1"/>
    <col min="6" max="6" width="29.44140625" style="260" customWidth="1"/>
    <col min="7" max="7" width="14.33203125" style="260" bestFit="1" customWidth="1"/>
    <col min="8" max="16384" width="9.33203125" style="260"/>
  </cols>
  <sheetData>
    <row r="1" spans="1:7">
      <c r="A1" s="734" t="s">
        <v>167</v>
      </c>
      <c r="B1" s="734"/>
      <c r="C1" s="734"/>
      <c r="D1" s="734"/>
      <c r="E1" s="734"/>
      <c r="F1" s="734"/>
    </row>
    <row r="2" spans="1:7">
      <c r="A2" s="735"/>
      <c r="B2" s="735"/>
      <c r="C2" s="735"/>
      <c r="D2" s="735"/>
      <c r="E2" s="735"/>
      <c r="F2" s="735"/>
    </row>
    <row r="3" spans="1:7" ht="15">
      <c r="A3" s="261" t="s">
        <v>168</v>
      </c>
      <c r="B3" s="261" t="s">
        <v>169</v>
      </c>
      <c r="C3" s="261" t="s">
        <v>170</v>
      </c>
      <c r="D3" s="261" t="s">
        <v>171</v>
      </c>
      <c r="E3" s="262" t="s">
        <v>172</v>
      </c>
      <c r="F3" s="263" t="s">
        <v>173</v>
      </c>
    </row>
    <row r="4" spans="1:7" ht="49.95" customHeight="1">
      <c r="A4" s="410">
        <v>1</v>
      </c>
      <c r="B4" s="369" t="s">
        <v>734</v>
      </c>
      <c r="C4" s="265" t="s">
        <v>174</v>
      </c>
      <c r="D4" s="401">
        <f>ROUND('01-Coleta domiciliar'!E601,2)</f>
        <v>324.57</v>
      </c>
      <c r="E4" s="266">
        <f>'01-Coleta domiciliar'!E7</f>
        <v>6506.5</v>
      </c>
      <c r="F4" s="402">
        <f t="shared" ref="F4:F8" si="0">D4*E4</f>
        <v>2111814.7050000001</v>
      </c>
      <c r="G4" s="413"/>
    </row>
    <row r="5" spans="1:7" ht="14.4" customHeight="1">
      <c r="A5" s="410">
        <v>2</v>
      </c>
      <c r="B5" s="369" t="s">
        <v>719</v>
      </c>
      <c r="C5" s="265" t="s">
        <v>175</v>
      </c>
      <c r="D5" s="401">
        <f>'03-Ecopontos'!E411</f>
        <v>48425.357034461122</v>
      </c>
      <c r="E5" s="266">
        <v>7</v>
      </c>
      <c r="F5" s="402">
        <f t="shared" si="0"/>
        <v>338977.49924122787</v>
      </c>
    </row>
    <row r="6" spans="1:7" ht="39.6" customHeight="1">
      <c r="A6" s="410">
        <v>3</v>
      </c>
      <c r="B6" s="369" t="s">
        <v>645</v>
      </c>
      <c r="C6" s="265" t="s">
        <v>567</v>
      </c>
      <c r="D6" s="401">
        <f>'04-Coleta contetores '!E489</f>
        <v>1409.5825218538271</v>
      </c>
      <c r="E6" s="266">
        <v>70</v>
      </c>
      <c r="F6" s="402">
        <f t="shared" si="0"/>
        <v>98670.7765297679</v>
      </c>
    </row>
    <row r="7" spans="1:7" ht="40.950000000000003" customHeight="1">
      <c r="A7" s="410">
        <v>4</v>
      </c>
      <c r="B7" s="369" t="s">
        <v>658</v>
      </c>
      <c r="C7" s="265" t="s">
        <v>629</v>
      </c>
      <c r="D7" s="689">
        <f>'04-Implantação contetores'!E251</f>
        <v>5459.0904726673816</v>
      </c>
      <c r="E7" s="690">
        <f>+'04-Implantação contetores'!E247</f>
        <v>7</v>
      </c>
      <c r="F7" s="402">
        <f t="shared" si="0"/>
        <v>38213.63330867167</v>
      </c>
    </row>
    <row r="8" spans="1:7" ht="16.2" customHeight="1">
      <c r="A8" s="410">
        <v>5</v>
      </c>
      <c r="B8" s="369" t="s">
        <v>627</v>
      </c>
      <c r="C8" s="265" t="s">
        <v>628</v>
      </c>
      <c r="D8" s="689">
        <f>'06-Administração local'!E452</f>
        <v>119718.17583601433</v>
      </c>
      <c r="E8" s="690">
        <v>1</v>
      </c>
      <c r="F8" s="402">
        <f t="shared" si="0"/>
        <v>119718.17583601433</v>
      </c>
    </row>
    <row r="9" spans="1:7" ht="17.25" customHeight="1">
      <c r="A9" s="736" t="s">
        <v>176</v>
      </c>
      <c r="B9" s="737"/>
      <c r="C9" s="737"/>
      <c r="D9" s="737"/>
      <c r="E9" s="738"/>
      <c r="F9" s="403">
        <f>ROUND(SUM(F4:F8),2)</f>
        <v>2707394.79</v>
      </c>
    </row>
    <row r="10" spans="1:7" ht="17.25" customHeight="1">
      <c r="A10" s="731" t="s">
        <v>177</v>
      </c>
      <c r="B10" s="732"/>
      <c r="C10" s="732"/>
      <c r="D10" s="732"/>
      <c r="E10" s="733"/>
      <c r="F10" s="404">
        <f>12*F9</f>
        <v>32488737.48</v>
      </c>
    </row>
    <row r="11" spans="1:7">
      <c r="F11" s="267"/>
      <c r="G11" s="391"/>
    </row>
    <row r="13" spans="1:7">
      <c r="D13" s="390"/>
      <c r="E13" s="389"/>
      <c r="F13" s="381"/>
    </row>
  </sheetData>
  <sheetProtection formatCells="0" formatColumns="0" formatRows="0" insertColumns="0" insertRows="0" insertHyperlinks="0" deleteColumns="0" deleteRows="0" sort="0" autoFilter="0" pivotTables="0"/>
  <mergeCells count="3">
    <mergeCell ref="A10:E10"/>
    <mergeCell ref="A1:F2"/>
    <mergeCell ref="A9:E9"/>
  </mergeCells>
  <pageMargins left="0.51180555555555596" right="0.51180555555555596" top="0.78680555555555598" bottom="0.78680555555555598" header="0.31388888888888899" footer="0.31388888888888899"/>
  <pageSetup paperSize="9" scale="92" fitToHeight="6" orientation="landscape" r:id="rId1"/>
  <rowBreaks count="1" manualBreakCount="1">
    <brk id="12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1"/>
  <sheetViews>
    <sheetView view="pageBreakPreview" zoomScaleNormal="100" zoomScaleSheetLayoutView="100" workbookViewId="0">
      <selection activeCell="H7" sqref="H7"/>
    </sheetView>
  </sheetViews>
  <sheetFormatPr defaultColWidth="9.33203125" defaultRowHeight="13.2"/>
  <cols>
    <col min="1" max="1" width="9.88671875" style="260" customWidth="1"/>
    <col min="2" max="2" width="52.88671875" style="260" customWidth="1"/>
    <col min="3" max="3" width="28.33203125" style="260" customWidth="1"/>
    <col min="4" max="4" width="19.109375" style="260" customWidth="1"/>
    <col min="5" max="5" width="29.44140625" style="260" customWidth="1"/>
    <col min="6" max="6" width="14.33203125" style="260" bestFit="1" customWidth="1"/>
    <col min="7" max="16384" width="9.33203125" style="260"/>
  </cols>
  <sheetData>
    <row r="1" spans="1:6" ht="13.2" customHeight="1">
      <c r="A1" s="734" t="s">
        <v>556</v>
      </c>
      <c r="B1" s="734"/>
      <c r="C1" s="734"/>
      <c r="D1" s="734"/>
      <c r="E1" s="734"/>
      <c r="F1" s="734"/>
    </row>
    <row r="2" spans="1:6" ht="13.2" customHeight="1">
      <c r="A2" s="735"/>
      <c r="B2" s="735"/>
      <c r="C2" s="735"/>
      <c r="D2" s="735"/>
      <c r="E2" s="735"/>
      <c r="F2" s="735"/>
    </row>
    <row r="3" spans="1:6" ht="27.6">
      <c r="A3" s="700" t="s">
        <v>168</v>
      </c>
      <c r="B3" s="700" t="s">
        <v>169</v>
      </c>
      <c r="C3" s="701" t="s">
        <v>557</v>
      </c>
      <c r="D3" s="701" t="s">
        <v>558</v>
      </c>
      <c r="E3" s="701" t="s">
        <v>559</v>
      </c>
      <c r="F3" s="701" t="s">
        <v>560</v>
      </c>
    </row>
    <row r="4" spans="1:6" ht="49.2" customHeight="1">
      <c r="A4" s="264">
        <v>1</v>
      </c>
      <c r="B4" s="369" t="s">
        <v>734</v>
      </c>
      <c r="C4" s="402">
        <f>'QUADRO GERAL'!F4*12</f>
        <v>25341776.460000001</v>
      </c>
      <c r="D4" s="409">
        <f>C4/$C$9</f>
        <v>0.78001727449057023</v>
      </c>
      <c r="E4" s="409">
        <f>D4</f>
        <v>0.78001727449057023</v>
      </c>
      <c r="F4" s="411" t="s">
        <v>561</v>
      </c>
    </row>
    <row r="5" spans="1:6" ht="38.4" customHeight="1">
      <c r="A5" s="264">
        <v>2</v>
      </c>
      <c r="B5" s="369" t="str">
        <f>'QUADRO GERAL'!B7</f>
        <v>IMPLANTAÇÃO DE CONTÊINERES SEMIENTERRADOS E/OU SOTERRADOS, INCLUINDO SUA LOCAÇÃO, MANUTENÇÃO E HIGIENIZAÇÃO COM 2 BOCAS, PARA 1.000 L</v>
      </c>
      <c r="C5" s="402">
        <f>'QUADRO GERAL'!F7*12</f>
        <v>458563.59970406001</v>
      </c>
      <c r="D5" s="409">
        <f>C5/$C$9</f>
        <v>1.411454046192568E-2</v>
      </c>
      <c r="E5" s="409">
        <f>E4+D5</f>
        <v>0.79413181495249596</v>
      </c>
      <c r="F5" s="412" t="s">
        <v>562</v>
      </c>
    </row>
    <row r="6" spans="1:6" ht="25.95" customHeight="1">
      <c r="A6" s="264">
        <v>3</v>
      </c>
      <c r="B6" s="369" t="s">
        <v>719</v>
      </c>
      <c r="C6" s="402">
        <f>'QUADRO GERAL'!F5*12</f>
        <v>4067729.9908947344</v>
      </c>
      <c r="D6" s="409">
        <f>C6/$C$9</f>
        <v>0.12520431098701526</v>
      </c>
      <c r="E6" s="409">
        <f t="shared" ref="E6:E7" si="0">E5+D6</f>
        <v>0.9193361259395112</v>
      </c>
      <c r="F6" s="412" t="s">
        <v>562</v>
      </c>
    </row>
    <row r="7" spans="1:6" ht="40.200000000000003" customHeight="1">
      <c r="A7" s="264">
        <v>4</v>
      </c>
      <c r="B7" s="369" t="str">
        <f>'QUADRO GERAL'!B6</f>
        <v>COLETA MECANIZADA COM MUNCK E TRANSPORTE DE RESÍDUOS DEPOSITADOS EM CONTÊINERES SEMIENTERRADOS E/OU SOTERRADOS ATÉ O DESTINO FINAL</v>
      </c>
      <c r="C7" s="402">
        <f>'QUADRO GERAL'!F6*12</f>
        <v>1184049.3183572148</v>
      </c>
      <c r="D7" s="409">
        <f>C7/$C$9</f>
        <v>3.6444916307473894E-2</v>
      </c>
      <c r="E7" s="409">
        <f t="shared" si="0"/>
        <v>0.95578104224698512</v>
      </c>
      <c r="F7" s="727" t="s">
        <v>563</v>
      </c>
    </row>
    <row r="8" spans="1:6" ht="22.2" customHeight="1">
      <c r="A8" s="264">
        <v>5</v>
      </c>
      <c r="B8" s="369" t="str">
        <f>'QUADRO GERAL'!B8</f>
        <v>ADMINISTRAÇÃO LOCAL</v>
      </c>
      <c r="C8" s="402">
        <f>'QUADRO GERAL'!F8*12</f>
        <v>1436618.1100321719</v>
      </c>
      <c r="D8" s="409">
        <f>C8/$C$9</f>
        <v>4.4218957753014952E-2</v>
      </c>
      <c r="E8" s="409">
        <f>D8+E7</f>
        <v>1</v>
      </c>
      <c r="F8" s="691" t="s">
        <v>563</v>
      </c>
    </row>
    <row r="9" spans="1:6" ht="15">
      <c r="A9" s="739" t="s">
        <v>514</v>
      </c>
      <c r="B9" s="739"/>
      <c r="C9" s="402">
        <f>SUM(C4:C8)</f>
        <v>32488737.478988182</v>
      </c>
      <c r="D9" s="740"/>
      <c r="E9" s="741"/>
      <c r="F9" s="741"/>
    </row>
    <row r="11" spans="1:6">
      <c r="C11" s="390"/>
      <c r="D11" s="389"/>
      <c r="E11" s="381"/>
    </row>
  </sheetData>
  <sheetProtection formatCells="0" formatColumns="0" formatRows="0" insertColumns="0" insertRows="0" insertHyperlinks="0" deleteColumns="0" deleteRows="0" sort="0" autoFilter="0" pivotTables="0"/>
  <sortState ref="B4:C8">
    <sortCondition descending="1" ref="C4:C8"/>
  </sortState>
  <mergeCells count="3">
    <mergeCell ref="A1:F2"/>
    <mergeCell ref="A9:B9"/>
    <mergeCell ref="D9:F9"/>
  </mergeCells>
  <pageMargins left="0.51180555555555596" right="0.51180555555555596" top="0.78680555555555598" bottom="0.78680555555555598" header="0.31388888888888899" footer="0.31388888888888899"/>
  <pageSetup paperSize="9" scale="90" fitToHeight="6" orientation="landscape" r:id="rId1"/>
  <rowBreaks count="1" manualBreakCount="1">
    <brk id="10" max="16383" man="1"/>
  </rowBreaks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Q28"/>
  <sheetViews>
    <sheetView view="pageBreakPreview" zoomScale="70" zoomScaleNormal="100" zoomScaleSheetLayoutView="70" workbookViewId="0">
      <selection activeCell="N17" sqref="N17"/>
    </sheetView>
  </sheetViews>
  <sheetFormatPr defaultColWidth="9.33203125" defaultRowHeight="13.2"/>
  <cols>
    <col min="1" max="1" width="5.88671875" style="361" customWidth="1"/>
    <col min="2" max="2" width="9.33203125" style="361"/>
    <col min="3" max="3" width="54.109375" style="361" customWidth="1"/>
    <col min="4" max="4" width="6.5546875" style="361" customWidth="1"/>
    <col min="5" max="5" width="25.44140625" style="361" customWidth="1"/>
    <col min="6" max="6" width="23.5546875" style="361" customWidth="1"/>
    <col min="7" max="7" width="25.5546875" style="361" customWidth="1"/>
    <col min="8" max="8" width="22.6640625" style="361" customWidth="1"/>
    <col min="9" max="9" width="23.6640625" style="361" customWidth="1"/>
    <col min="10" max="10" width="23" style="361" customWidth="1"/>
    <col min="11" max="11" width="23.88671875" style="361" customWidth="1"/>
    <col min="12" max="12" width="13.6640625" style="361" customWidth="1"/>
    <col min="13" max="13" width="13.109375" style="361" customWidth="1"/>
    <col min="14" max="14" width="13.88671875" style="361" customWidth="1"/>
    <col min="15" max="15" width="13.6640625" style="361" customWidth="1"/>
    <col min="16" max="16" width="14.109375" style="361" customWidth="1"/>
    <col min="17" max="17" width="13.6640625" style="361" customWidth="1"/>
    <col min="18" max="16384" width="9.33203125" style="361"/>
  </cols>
  <sheetData>
    <row r="1" spans="1:17" ht="22.5" customHeight="1">
      <c r="A1" s="742" t="s">
        <v>502</v>
      </c>
      <c r="B1" s="742"/>
      <c r="C1" s="742"/>
      <c r="D1" s="742"/>
      <c r="E1" s="742"/>
      <c r="F1" s="742"/>
      <c r="G1" s="742"/>
      <c r="H1" s="742"/>
      <c r="I1" s="742"/>
      <c r="J1" s="742"/>
      <c r="K1" s="742"/>
      <c r="L1" s="367"/>
      <c r="M1" s="367"/>
      <c r="N1" s="367"/>
      <c r="O1" s="367"/>
      <c r="P1" s="367"/>
      <c r="Q1" s="367"/>
    </row>
    <row r="2" spans="1:17" ht="17.399999999999999" customHeight="1">
      <c r="A2" s="364" t="s">
        <v>503</v>
      </c>
      <c r="B2" s="753" t="s">
        <v>504</v>
      </c>
      <c r="C2" s="754"/>
      <c r="D2" s="382"/>
      <c r="E2" s="364" t="s">
        <v>505</v>
      </c>
      <c r="F2" s="364" t="s">
        <v>506</v>
      </c>
      <c r="G2" s="364" t="s">
        <v>507</v>
      </c>
      <c r="H2" s="364" t="s">
        <v>508</v>
      </c>
      <c r="I2" s="364" t="s">
        <v>509</v>
      </c>
      <c r="J2" s="364" t="s">
        <v>510</v>
      </c>
      <c r="K2" s="364" t="s">
        <v>511</v>
      </c>
    </row>
    <row r="3" spans="1:17" ht="27" customHeight="1">
      <c r="A3" s="747">
        <v>1</v>
      </c>
      <c r="B3" s="749" t="str">
        <f>'QUADRO GERAL'!B4</f>
        <v>COLETA MANUAL, CONTEINIZADA E FLUVIAL DE RESÍDUOS SÓLIDOS DOMICILIARES, COMERCIAIS E DE FEIRAS LIVRES, COM SISTEMA DE MONITORAMENTO COM GPS, ATÉ O DESTINO FINAL</v>
      </c>
      <c r="C3" s="750"/>
      <c r="D3" s="364" t="s">
        <v>512</v>
      </c>
      <c r="E3" s="365">
        <f>'QUADRO GERAL'!F4</f>
        <v>2111814.7050000001</v>
      </c>
      <c r="F3" s="372">
        <f>ROUND((E3*F4),2)</f>
        <v>2111814.71</v>
      </c>
      <c r="G3" s="372">
        <f>ROUND((E3*G4),2)</f>
        <v>2111814.71</v>
      </c>
      <c r="H3" s="373">
        <f>ROUND((E3*H4),2)</f>
        <v>2111814.71</v>
      </c>
      <c r="I3" s="373">
        <f>ROUND((E3*I4),2)</f>
        <v>2111814.71</v>
      </c>
      <c r="J3" s="373">
        <f>ROUND((E3*J4),2)</f>
        <v>2111814.71</v>
      </c>
      <c r="K3" s="373">
        <f>ROUND((E3*K4),2)</f>
        <v>2111814.71</v>
      </c>
    </row>
    <row r="4" spans="1:17" ht="38.4" customHeight="1">
      <c r="A4" s="748"/>
      <c r="B4" s="751"/>
      <c r="C4" s="752"/>
      <c r="D4" s="364" t="s">
        <v>513</v>
      </c>
      <c r="E4" s="366">
        <v>1</v>
      </c>
      <c r="F4" s="371">
        <v>1</v>
      </c>
      <c r="G4" s="371">
        <v>1</v>
      </c>
      <c r="H4" s="371">
        <v>1</v>
      </c>
      <c r="I4" s="371">
        <v>1</v>
      </c>
      <c r="J4" s="371">
        <v>1</v>
      </c>
      <c r="K4" s="371">
        <v>1</v>
      </c>
    </row>
    <row r="5" spans="1:17" ht="13.2" customHeight="1">
      <c r="A5" s="747">
        <v>2</v>
      </c>
      <c r="B5" s="749" t="str">
        <f>'QUADRO GERAL'!B5</f>
        <v>IMPLANTAÇÃO E OPERAÇÃO DE ECOPONTOS</v>
      </c>
      <c r="C5" s="750"/>
      <c r="D5" s="364" t="s">
        <v>512</v>
      </c>
      <c r="E5" s="365">
        <f>'QUADRO GERAL'!F5</f>
        <v>338977.49924122787</v>
      </c>
      <c r="F5" s="373">
        <f>ROUND((E5*F6),2)</f>
        <v>338977.5</v>
      </c>
      <c r="G5" s="373">
        <f>F5</f>
        <v>338977.5</v>
      </c>
      <c r="H5" s="373">
        <f>G5</f>
        <v>338977.5</v>
      </c>
      <c r="I5" s="373">
        <f>H5</f>
        <v>338977.5</v>
      </c>
      <c r="J5" s="373">
        <f>I5</f>
        <v>338977.5</v>
      </c>
      <c r="K5" s="373">
        <f>J5</f>
        <v>338977.5</v>
      </c>
    </row>
    <row r="6" spans="1:17" ht="19.2" customHeight="1">
      <c r="A6" s="748"/>
      <c r="B6" s="751"/>
      <c r="C6" s="752"/>
      <c r="D6" s="364" t="s">
        <v>513</v>
      </c>
      <c r="E6" s="366">
        <v>1</v>
      </c>
      <c r="F6" s="371">
        <v>1</v>
      </c>
      <c r="G6" s="371">
        <v>1</v>
      </c>
      <c r="H6" s="371">
        <v>1</v>
      </c>
      <c r="I6" s="371">
        <v>1</v>
      </c>
      <c r="J6" s="371">
        <v>1</v>
      </c>
      <c r="K6" s="371">
        <v>1</v>
      </c>
    </row>
    <row r="7" spans="1:17" ht="16.5" customHeight="1">
      <c r="A7" s="747">
        <v>3</v>
      </c>
      <c r="B7" s="749" t="str">
        <f>'QUADRO GERAL'!B6</f>
        <v>COLETA MECANIZADA COM MUNCK E TRANSPORTE DE RESÍDUOS DEPOSITADOS EM CONTÊINERES SEMIENTERRADOS E/OU SOTERRADOS ATÉ O DESTINO FINAL</v>
      </c>
      <c r="C7" s="750"/>
      <c r="D7" s="364" t="s">
        <v>512</v>
      </c>
      <c r="E7" s="365">
        <f>'QUADRO GERAL'!F6</f>
        <v>98670.7765297679</v>
      </c>
      <c r="F7" s="373">
        <f>E7*F8</f>
        <v>98670.7765297679</v>
      </c>
      <c r="G7" s="373">
        <f>E7*G8</f>
        <v>98670.7765297679</v>
      </c>
      <c r="H7" s="373">
        <f>E7*H8</f>
        <v>98670.7765297679</v>
      </c>
      <c r="I7" s="373">
        <f>E7*I8</f>
        <v>98670.7765297679</v>
      </c>
      <c r="J7" s="373">
        <f>E7*J8</f>
        <v>98670.7765297679</v>
      </c>
      <c r="K7" s="373">
        <f>E7*K8</f>
        <v>98670.7765297679</v>
      </c>
    </row>
    <row r="8" spans="1:17" ht="33.6" customHeight="1">
      <c r="A8" s="748"/>
      <c r="B8" s="751"/>
      <c r="C8" s="752"/>
      <c r="D8" s="364" t="s">
        <v>513</v>
      </c>
      <c r="E8" s="366">
        <v>1</v>
      </c>
      <c r="F8" s="371">
        <v>1</v>
      </c>
      <c r="G8" s="371">
        <v>1</v>
      </c>
      <c r="H8" s="371">
        <v>1</v>
      </c>
      <c r="I8" s="371">
        <v>1</v>
      </c>
      <c r="J8" s="371">
        <v>1</v>
      </c>
      <c r="K8" s="371">
        <v>1</v>
      </c>
    </row>
    <row r="9" spans="1:17" ht="25.2" customHeight="1">
      <c r="A9" s="747">
        <v>4</v>
      </c>
      <c r="B9" s="755" t="str">
        <f>'QUADRO GERAL'!B7</f>
        <v>IMPLANTAÇÃO DE CONTÊINERES SEMIENTERRADOS E/OU SOTERRADOS, INCLUINDO SUA LOCAÇÃO, MANUTENÇÃO E HIGIENIZAÇÃO COM 2 BOCAS, PARA 1.000 L</v>
      </c>
      <c r="C9" s="755"/>
      <c r="D9" s="364" t="s">
        <v>512</v>
      </c>
      <c r="E9" s="698">
        <f>'QUADRO GERAL'!F7</f>
        <v>38213.63330867167</v>
      </c>
      <c r="F9" s="699">
        <f>E9</f>
        <v>38213.63330867167</v>
      </c>
      <c r="G9" s="699">
        <f t="shared" ref="G9:K9" si="0">F9</f>
        <v>38213.63330867167</v>
      </c>
      <c r="H9" s="699">
        <f t="shared" si="0"/>
        <v>38213.63330867167</v>
      </c>
      <c r="I9" s="699">
        <f t="shared" si="0"/>
        <v>38213.63330867167</v>
      </c>
      <c r="J9" s="699">
        <f t="shared" si="0"/>
        <v>38213.63330867167</v>
      </c>
      <c r="K9" s="699">
        <f t="shared" si="0"/>
        <v>38213.63330867167</v>
      </c>
    </row>
    <row r="10" spans="1:17" ht="25.2" customHeight="1">
      <c r="A10" s="748"/>
      <c r="B10" s="755"/>
      <c r="C10" s="755"/>
      <c r="D10" s="364" t="s">
        <v>513</v>
      </c>
      <c r="E10" s="366">
        <v>1</v>
      </c>
      <c r="F10" s="371">
        <v>1</v>
      </c>
      <c r="G10" s="371">
        <v>1</v>
      </c>
      <c r="H10" s="371">
        <v>1</v>
      </c>
      <c r="I10" s="371">
        <v>1</v>
      </c>
      <c r="J10" s="371">
        <v>1</v>
      </c>
      <c r="K10" s="371">
        <v>1</v>
      </c>
    </row>
    <row r="11" spans="1:17" ht="21" customHeight="1">
      <c r="A11" s="747">
        <v>5</v>
      </c>
      <c r="B11" s="755" t="str">
        <f>'QUADRO GERAL'!B8</f>
        <v>ADMINISTRAÇÃO LOCAL</v>
      </c>
      <c r="C11" s="755"/>
      <c r="D11" s="364" t="s">
        <v>512</v>
      </c>
      <c r="E11" s="698">
        <f>'QUADRO GERAL'!F8</f>
        <v>119718.17583601433</v>
      </c>
      <c r="F11" s="699">
        <f>E11</f>
        <v>119718.17583601433</v>
      </c>
      <c r="G11" s="699">
        <f t="shared" ref="G11:K11" si="1">F11</f>
        <v>119718.17583601433</v>
      </c>
      <c r="H11" s="699">
        <f t="shared" si="1"/>
        <v>119718.17583601433</v>
      </c>
      <c r="I11" s="699">
        <f t="shared" si="1"/>
        <v>119718.17583601433</v>
      </c>
      <c r="J11" s="699">
        <f t="shared" si="1"/>
        <v>119718.17583601433</v>
      </c>
      <c r="K11" s="699">
        <f t="shared" si="1"/>
        <v>119718.17583601433</v>
      </c>
    </row>
    <row r="12" spans="1:17" ht="16.95" customHeight="1">
      <c r="A12" s="748"/>
      <c r="B12" s="755"/>
      <c r="C12" s="755"/>
      <c r="D12" s="364" t="s">
        <v>513</v>
      </c>
      <c r="E12" s="366">
        <v>1</v>
      </c>
      <c r="F12" s="371">
        <v>1</v>
      </c>
      <c r="G12" s="371">
        <v>1</v>
      </c>
      <c r="H12" s="371">
        <v>1</v>
      </c>
      <c r="I12" s="371">
        <v>1</v>
      </c>
      <c r="J12" s="371">
        <v>1</v>
      </c>
      <c r="K12" s="371">
        <v>1</v>
      </c>
    </row>
    <row r="13" spans="1:17" ht="13.8">
      <c r="A13" s="745" t="s">
        <v>514</v>
      </c>
      <c r="B13" s="745"/>
      <c r="C13" s="745"/>
      <c r="D13" s="374" t="s">
        <v>512</v>
      </c>
      <c r="E13" s="384">
        <f>+E11+E9+E7+E5+E3</f>
        <v>2707394.7899156818</v>
      </c>
      <c r="F13" s="743">
        <f>+F11+F9+F7+F5+F3</f>
        <v>2707394.795674454</v>
      </c>
      <c r="G13" s="743">
        <f t="shared" ref="G13:K13" si="2">F13</f>
        <v>2707394.795674454</v>
      </c>
      <c r="H13" s="743">
        <f t="shared" si="2"/>
        <v>2707394.795674454</v>
      </c>
      <c r="I13" s="743">
        <f t="shared" si="2"/>
        <v>2707394.795674454</v>
      </c>
      <c r="J13" s="743">
        <f t="shared" si="2"/>
        <v>2707394.795674454</v>
      </c>
      <c r="K13" s="743">
        <f t="shared" si="2"/>
        <v>2707394.795674454</v>
      </c>
    </row>
    <row r="14" spans="1:17" ht="13.8">
      <c r="A14" s="746"/>
      <c r="B14" s="746"/>
      <c r="C14" s="746"/>
      <c r="D14" s="374" t="s">
        <v>513</v>
      </c>
      <c r="E14" s="383">
        <v>1</v>
      </c>
      <c r="F14" s="744"/>
      <c r="G14" s="744"/>
      <c r="H14" s="744"/>
      <c r="I14" s="744"/>
      <c r="J14" s="744"/>
      <c r="K14" s="744"/>
    </row>
    <row r="15" spans="1:17">
      <c r="A15" s="756"/>
      <c r="B15" s="756"/>
      <c r="C15" s="756"/>
      <c r="D15" s="756"/>
      <c r="E15" s="756"/>
      <c r="F15" s="756"/>
      <c r="G15" s="756"/>
      <c r="H15" s="756"/>
      <c r="I15" s="756"/>
      <c r="J15" s="756"/>
      <c r="K15" s="756"/>
    </row>
    <row r="16" spans="1:17">
      <c r="A16" s="362" t="s">
        <v>503</v>
      </c>
      <c r="B16" s="753" t="s">
        <v>504</v>
      </c>
      <c r="C16" s="754"/>
      <c r="D16" s="363"/>
      <c r="E16" s="362" t="s">
        <v>505</v>
      </c>
      <c r="F16" s="362" t="s">
        <v>524</v>
      </c>
      <c r="G16" s="362" t="s">
        <v>525</v>
      </c>
      <c r="H16" s="362" t="s">
        <v>526</v>
      </c>
      <c r="I16" s="362" t="s">
        <v>527</v>
      </c>
      <c r="J16" s="362" t="s">
        <v>528</v>
      </c>
      <c r="K16" s="362" t="s">
        <v>529</v>
      </c>
    </row>
    <row r="17" spans="1:11" ht="22.95" customHeight="1">
      <c r="A17" s="747">
        <v>1</v>
      </c>
      <c r="B17" s="749" t="str">
        <f>B3</f>
        <v>COLETA MANUAL, CONTEINIZADA E FLUVIAL DE RESÍDUOS SÓLIDOS DOMICILIARES, COMERCIAIS E DE FEIRAS LIVRES, COM SISTEMA DE MONITORAMENTO COM GPS, ATÉ O DESTINO FINAL</v>
      </c>
      <c r="C17" s="750"/>
      <c r="D17" s="364" t="s">
        <v>512</v>
      </c>
      <c r="E17" s="365">
        <f>E3</f>
        <v>2111814.7050000001</v>
      </c>
      <c r="F17" s="372">
        <f>ROUND((E17*F18),2)</f>
        <v>2111814.71</v>
      </c>
      <c r="G17" s="372">
        <f>ROUND((E17*G18),2)</f>
        <v>2111814.71</v>
      </c>
      <c r="H17" s="373">
        <f>ROUND((E17*H18),2)</f>
        <v>2111814.71</v>
      </c>
      <c r="I17" s="373">
        <f>ROUND((E17*I18),2)</f>
        <v>2111814.71</v>
      </c>
      <c r="J17" s="373">
        <f>ROUND((E17*J18),2)</f>
        <v>2111814.71</v>
      </c>
      <c r="K17" s="373">
        <f>ROUND((E17*K18),2)</f>
        <v>2111814.71</v>
      </c>
    </row>
    <row r="18" spans="1:11" ht="35.4" customHeight="1">
      <c r="A18" s="748"/>
      <c r="B18" s="751"/>
      <c r="C18" s="752"/>
      <c r="D18" s="364" t="s">
        <v>513</v>
      </c>
      <c r="E18" s="366">
        <v>1</v>
      </c>
      <c r="F18" s="371">
        <v>1</v>
      </c>
      <c r="G18" s="371">
        <v>1</v>
      </c>
      <c r="H18" s="371">
        <v>1</v>
      </c>
      <c r="I18" s="371">
        <v>1</v>
      </c>
      <c r="J18" s="371">
        <v>1</v>
      </c>
      <c r="K18" s="371">
        <v>1</v>
      </c>
    </row>
    <row r="19" spans="1:11" ht="14.4" customHeight="1">
      <c r="A19" s="747">
        <v>2</v>
      </c>
      <c r="B19" s="749" t="str">
        <f>B5</f>
        <v>IMPLANTAÇÃO E OPERAÇÃO DE ECOPONTOS</v>
      </c>
      <c r="C19" s="750"/>
      <c r="D19" s="364" t="s">
        <v>512</v>
      </c>
      <c r="E19" s="365">
        <f>E5</f>
        <v>338977.49924122787</v>
      </c>
      <c r="F19" s="373">
        <f>ROUND((E19*F20),2)</f>
        <v>338977.5</v>
      </c>
      <c r="G19" s="373">
        <f>F19</f>
        <v>338977.5</v>
      </c>
      <c r="H19" s="373">
        <f>G19</f>
        <v>338977.5</v>
      </c>
      <c r="I19" s="373">
        <f>H19</f>
        <v>338977.5</v>
      </c>
      <c r="J19" s="373">
        <f>I19</f>
        <v>338977.5</v>
      </c>
      <c r="K19" s="373">
        <f>J19</f>
        <v>338977.5</v>
      </c>
    </row>
    <row r="20" spans="1:11" ht="10.199999999999999" customHeight="1">
      <c r="A20" s="748"/>
      <c r="B20" s="751"/>
      <c r="C20" s="752"/>
      <c r="D20" s="364" t="s">
        <v>513</v>
      </c>
      <c r="E20" s="366">
        <v>1</v>
      </c>
      <c r="F20" s="371">
        <v>1</v>
      </c>
      <c r="G20" s="371">
        <v>1</v>
      </c>
      <c r="H20" s="371">
        <v>1</v>
      </c>
      <c r="I20" s="371">
        <v>1</v>
      </c>
      <c r="J20" s="371">
        <v>1</v>
      </c>
      <c r="K20" s="371">
        <v>1</v>
      </c>
    </row>
    <row r="21" spans="1:11" ht="22.95" customHeight="1">
      <c r="A21" s="747">
        <v>3</v>
      </c>
      <c r="B21" s="749" t="str">
        <f>B7</f>
        <v>COLETA MECANIZADA COM MUNCK E TRANSPORTE DE RESÍDUOS DEPOSITADOS EM CONTÊINERES SEMIENTERRADOS E/OU SOTERRADOS ATÉ O DESTINO FINAL</v>
      </c>
      <c r="C21" s="750"/>
      <c r="D21" s="364" t="s">
        <v>512</v>
      </c>
      <c r="E21" s="365">
        <f>E7</f>
        <v>98670.7765297679</v>
      </c>
      <c r="F21" s="373">
        <f>E21*F22</f>
        <v>98670.7765297679</v>
      </c>
      <c r="G21" s="373">
        <f>E21*G22</f>
        <v>98670.7765297679</v>
      </c>
      <c r="H21" s="373">
        <f>E21*H22</f>
        <v>98670.7765297679</v>
      </c>
      <c r="I21" s="373">
        <f>E21*I22</f>
        <v>98670.7765297679</v>
      </c>
      <c r="J21" s="373">
        <f>E21*J22</f>
        <v>98670.7765297679</v>
      </c>
      <c r="K21" s="373">
        <f>E21*K22</f>
        <v>98670.7765297679</v>
      </c>
    </row>
    <row r="22" spans="1:11" ht="35.4" customHeight="1">
      <c r="A22" s="748"/>
      <c r="B22" s="751"/>
      <c r="C22" s="752"/>
      <c r="D22" s="364" t="s">
        <v>513</v>
      </c>
      <c r="E22" s="366">
        <v>1</v>
      </c>
      <c r="F22" s="371">
        <v>1</v>
      </c>
      <c r="G22" s="371">
        <v>1</v>
      </c>
      <c r="H22" s="371">
        <v>1</v>
      </c>
      <c r="I22" s="371">
        <v>1</v>
      </c>
      <c r="J22" s="371">
        <v>1</v>
      </c>
      <c r="K22" s="371">
        <v>1</v>
      </c>
    </row>
    <row r="23" spans="1:11" ht="22.95" customHeight="1">
      <c r="A23" s="747">
        <v>4</v>
      </c>
      <c r="B23" s="749" t="str">
        <f>B9</f>
        <v>IMPLANTAÇÃO DE CONTÊINERES SEMIENTERRADOS E/OU SOTERRADOS, INCLUINDO SUA LOCAÇÃO, MANUTENÇÃO E HIGIENIZAÇÃO COM 2 BOCAS, PARA 1.000 L</v>
      </c>
      <c r="C23" s="750"/>
      <c r="D23" s="364" t="s">
        <v>512</v>
      </c>
      <c r="E23" s="698">
        <f>E9</f>
        <v>38213.63330867167</v>
      </c>
      <c r="F23" s="699">
        <f>E23</f>
        <v>38213.63330867167</v>
      </c>
      <c r="G23" s="699">
        <f t="shared" ref="G23:K23" si="3">F23</f>
        <v>38213.63330867167</v>
      </c>
      <c r="H23" s="699">
        <f t="shared" si="3"/>
        <v>38213.63330867167</v>
      </c>
      <c r="I23" s="699">
        <f t="shared" si="3"/>
        <v>38213.63330867167</v>
      </c>
      <c r="J23" s="699">
        <f t="shared" si="3"/>
        <v>38213.63330867167</v>
      </c>
      <c r="K23" s="699">
        <f t="shared" si="3"/>
        <v>38213.63330867167</v>
      </c>
    </row>
    <row r="24" spans="1:11" ht="29.4" customHeight="1">
      <c r="A24" s="748"/>
      <c r="B24" s="751"/>
      <c r="C24" s="752"/>
      <c r="D24" s="364" t="s">
        <v>513</v>
      </c>
      <c r="E24" s="366">
        <v>1</v>
      </c>
      <c r="F24" s="371">
        <v>1</v>
      </c>
      <c r="G24" s="371">
        <v>1</v>
      </c>
      <c r="H24" s="371">
        <v>1</v>
      </c>
      <c r="I24" s="371">
        <v>1</v>
      </c>
      <c r="J24" s="371">
        <v>1</v>
      </c>
      <c r="K24" s="371">
        <v>1</v>
      </c>
    </row>
    <row r="25" spans="1:11" ht="14.4" customHeight="1">
      <c r="A25" s="747">
        <v>5</v>
      </c>
      <c r="B25" s="749" t="str">
        <f>B11</f>
        <v>ADMINISTRAÇÃO LOCAL</v>
      </c>
      <c r="C25" s="750"/>
      <c r="D25" s="364" t="s">
        <v>512</v>
      </c>
      <c r="E25" s="698">
        <f>E11</f>
        <v>119718.17583601433</v>
      </c>
      <c r="F25" s="699">
        <f>E25</f>
        <v>119718.17583601433</v>
      </c>
      <c r="G25" s="699">
        <f t="shared" ref="G25:K25" si="4">F25</f>
        <v>119718.17583601433</v>
      </c>
      <c r="H25" s="699">
        <f t="shared" si="4"/>
        <v>119718.17583601433</v>
      </c>
      <c r="I25" s="699">
        <f t="shared" si="4"/>
        <v>119718.17583601433</v>
      </c>
      <c r="J25" s="699">
        <f t="shared" si="4"/>
        <v>119718.17583601433</v>
      </c>
      <c r="K25" s="699">
        <f t="shared" si="4"/>
        <v>119718.17583601433</v>
      </c>
    </row>
    <row r="26" spans="1:11" ht="12.6" customHeight="1">
      <c r="A26" s="748"/>
      <c r="B26" s="751"/>
      <c r="C26" s="752"/>
      <c r="D26" s="364" t="s">
        <v>513</v>
      </c>
      <c r="E26" s="366">
        <v>1</v>
      </c>
      <c r="F26" s="371">
        <v>1</v>
      </c>
      <c r="G26" s="371">
        <v>1</v>
      </c>
      <c r="H26" s="371">
        <v>1</v>
      </c>
      <c r="I26" s="371">
        <v>1</v>
      </c>
      <c r="J26" s="371">
        <v>1</v>
      </c>
      <c r="K26" s="371">
        <v>1</v>
      </c>
    </row>
    <row r="27" spans="1:11" ht="13.8">
      <c r="A27" s="745" t="s">
        <v>514</v>
      </c>
      <c r="B27" s="745"/>
      <c r="C27" s="745"/>
      <c r="D27" s="374" t="s">
        <v>512</v>
      </c>
      <c r="E27" s="384">
        <f>'QUADRO GERAL'!F9</f>
        <v>2707394.79</v>
      </c>
      <c r="F27" s="743">
        <f t="shared" ref="F27:K27" si="5">E27</f>
        <v>2707394.79</v>
      </c>
      <c r="G27" s="743">
        <f t="shared" si="5"/>
        <v>2707394.79</v>
      </c>
      <c r="H27" s="743">
        <f t="shared" si="5"/>
        <v>2707394.79</v>
      </c>
      <c r="I27" s="743">
        <f t="shared" si="5"/>
        <v>2707394.79</v>
      </c>
      <c r="J27" s="743">
        <f t="shared" si="5"/>
        <v>2707394.79</v>
      </c>
      <c r="K27" s="743">
        <f t="shared" si="5"/>
        <v>2707394.79</v>
      </c>
    </row>
    <row r="28" spans="1:11" ht="13.8">
      <c r="A28" s="746"/>
      <c r="B28" s="746"/>
      <c r="C28" s="746"/>
      <c r="D28" s="374" t="s">
        <v>513</v>
      </c>
      <c r="E28" s="383">
        <v>1</v>
      </c>
      <c r="F28" s="744"/>
      <c r="G28" s="744"/>
      <c r="H28" s="744"/>
      <c r="I28" s="744"/>
      <c r="J28" s="744"/>
      <c r="K28" s="744"/>
    </row>
  </sheetData>
  <mergeCells count="38">
    <mergeCell ref="B9:C10"/>
    <mergeCell ref="A11:A12"/>
    <mergeCell ref="B11:C12"/>
    <mergeCell ref="B16:C16"/>
    <mergeCell ref="A17:A18"/>
    <mergeCell ref="B17:C18"/>
    <mergeCell ref="A15:K15"/>
    <mergeCell ref="A23:A24"/>
    <mergeCell ref="B23:C24"/>
    <mergeCell ref="A19:A20"/>
    <mergeCell ref="A27:C28"/>
    <mergeCell ref="A21:A22"/>
    <mergeCell ref="B19:C20"/>
    <mergeCell ref="B21:C22"/>
    <mergeCell ref="A25:A26"/>
    <mergeCell ref="B25:C26"/>
    <mergeCell ref="K27:K28"/>
    <mergeCell ref="F27:F28"/>
    <mergeCell ref="G27:G28"/>
    <mergeCell ref="H27:H28"/>
    <mergeCell ref="I27:I28"/>
    <mergeCell ref="J27:J28"/>
    <mergeCell ref="A1:K1"/>
    <mergeCell ref="G13:G14"/>
    <mergeCell ref="H13:H14"/>
    <mergeCell ref="I13:I14"/>
    <mergeCell ref="J13:J14"/>
    <mergeCell ref="K13:K14"/>
    <mergeCell ref="A13:C14"/>
    <mergeCell ref="F13:F14"/>
    <mergeCell ref="A5:A6"/>
    <mergeCell ref="B5:C6"/>
    <mergeCell ref="A7:A8"/>
    <mergeCell ref="B7:C8"/>
    <mergeCell ref="B2:C2"/>
    <mergeCell ref="A3:A4"/>
    <mergeCell ref="B3:C4"/>
    <mergeCell ref="A9:A10"/>
  </mergeCells>
  <printOptions horizontalCentered="1" verticalCentered="1"/>
  <pageMargins left="0.51181102362204722" right="0.51181102362204722" top="0.82677165354330717" bottom="0.78740157480314965" header="0.31496062992125984" footer="0.31496062992125984"/>
  <pageSetup paperSize="9" scale="57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05"/>
  <sheetViews>
    <sheetView topLeftCell="A341" zoomScaleNormal="100" zoomScaleSheetLayoutView="100" workbookViewId="0">
      <selection activeCell="E273" sqref="E273"/>
    </sheetView>
  </sheetViews>
  <sheetFormatPr defaultColWidth="11.44140625" defaultRowHeight="11.4"/>
  <cols>
    <col min="1" max="1" width="11.44140625" style="1" customWidth="1"/>
    <col min="2" max="2" width="29.88671875" style="1" customWidth="1"/>
    <col min="3" max="3" width="23.5546875" style="1" customWidth="1"/>
    <col min="4" max="4" width="39" style="1" customWidth="1"/>
    <col min="5" max="5" width="20.33203125" style="1" customWidth="1"/>
    <col min="6" max="6" width="17.88671875" style="1" customWidth="1"/>
    <col min="7" max="7" width="11.44140625" style="1" customWidth="1"/>
    <col min="8" max="8" width="12.6640625" style="52" customWidth="1"/>
    <col min="9" max="9" width="14.6640625" style="52" customWidth="1"/>
    <col min="10" max="16384" width="11.44140625" style="52"/>
  </cols>
  <sheetData>
    <row r="1" spans="1:9" ht="11.25" customHeight="1">
      <c r="A1" s="779" t="s">
        <v>178</v>
      </c>
      <c r="B1" s="730"/>
      <c r="C1" s="730"/>
      <c r="D1" s="730"/>
      <c r="E1" s="730"/>
      <c r="F1" s="730"/>
      <c r="G1" s="730"/>
    </row>
    <row r="2" spans="1:9" ht="11.25" customHeight="1">
      <c r="A2" s="779"/>
      <c r="B2" s="730"/>
      <c r="C2" s="730"/>
      <c r="D2" s="730"/>
      <c r="E2" s="730"/>
      <c r="F2" s="730"/>
      <c r="G2" s="730"/>
    </row>
    <row r="3" spans="1:9" ht="14.25" customHeight="1">
      <c r="A3" s="780" t="str">
        <f>'QUADRO GERAL'!B4</f>
        <v>COLETA MANUAL, CONTEINIZADA E FLUVIAL DE RESÍDUOS SÓLIDOS DOMICILIARES, COMERCIAIS E DE FEIRAS LIVRES, COM SISTEMA DE MONITORAMENTO COM GPS, ATÉ O DESTINO FINAL</v>
      </c>
      <c r="B3" s="780"/>
      <c r="C3" s="780"/>
      <c r="D3" s="780"/>
      <c r="E3" s="780"/>
      <c r="F3" s="780"/>
      <c r="G3" s="780"/>
    </row>
    <row r="4" spans="1:9" ht="30" customHeight="1">
      <c r="A4" s="780"/>
      <c r="B4" s="780"/>
      <c r="C4" s="780"/>
      <c r="D4" s="780"/>
      <c r="E4" s="780"/>
      <c r="F4" s="780"/>
      <c r="G4" s="780"/>
    </row>
    <row r="5" spans="1:9">
      <c r="E5" s="2"/>
      <c r="F5" s="3"/>
      <c r="G5" s="4"/>
    </row>
    <row r="6" spans="1:9" ht="12" thickBot="1">
      <c r="B6" s="6" t="s">
        <v>179</v>
      </c>
      <c r="C6" s="7"/>
      <c r="D6" s="7"/>
      <c r="E6" s="8"/>
      <c r="F6" s="9"/>
    </row>
    <row r="7" spans="1:9">
      <c r="B7" s="338" t="s">
        <v>180</v>
      </c>
      <c r="C7" s="11"/>
      <c r="D7" s="12"/>
      <c r="E7" s="219">
        <v>6506.5</v>
      </c>
      <c r="F7" s="13" t="s">
        <v>181</v>
      </c>
      <c r="G7" s="14"/>
    </row>
    <row r="8" spans="1:9" ht="13.2">
      <c r="B8" s="339" t="s">
        <v>516</v>
      </c>
      <c r="C8" s="16"/>
      <c r="D8" s="17"/>
      <c r="E8" s="257">
        <f>E7/30</f>
        <v>216.88333333333333</v>
      </c>
      <c r="F8" s="360" t="s">
        <v>517</v>
      </c>
      <c r="G8" s="23"/>
      <c r="I8" s="408"/>
    </row>
    <row r="9" spans="1:9">
      <c r="B9" s="339" t="s">
        <v>180</v>
      </c>
      <c r="C9" s="16"/>
      <c r="D9" s="17"/>
      <c r="E9" s="21">
        <v>12</v>
      </c>
      <c r="F9" s="19" t="s">
        <v>183</v>
      </c>
      <c r="G9" s="23"/>
    </row>
    <row r="10" spans="1:9" ht="13.2">
      <c r="B10" s="339" t="s">
        <v>184</v>
      </c>
      <c r="C10" s="16"/>
      <c r="D10" s="17"/>
      <c r="E10" s="18">
        <v>26.08</v>
      </c>
      <c r="F10" s="19" t="s">
        <v>185</v>
      </c>
      <c r="G10" s="20"/>
      <c r="I10" s="400"/>
    </row>
    <row r="11" spans="1:9" ht="15" customHeight="1">
      <c r="B11" s="15" t="s">
        <v>543</v>
      </c>
      <c r="C11" s="16"/>
      <c r="D11" s="17"/>
      <c r="E11" s="18">
        <f>12237.036+61248</f>
        <v>73485.035999999993</v>
      </c>
      <c r="F11" s="340" t="s">
        <v>460</v>
      </c>
      <c r="G11" s="20"/>
    </row>
    <row r="12" spans="1:9" ht="15" hidden="1" customHeight="1">
      <c r="B12" s="15" t="s">
        <v>544</v>
      </c>
      <c r="C12" s="16"/>
      <c r="D12" s="17"/>
      <c r="E12" s="18">
        <v>0</v>
      </c>
      <c r="F12" s="340" t="s">
        <v>460</v>
      </c>
      <c r="G12" s="398"/>
    </row>
    <row r="13" spans="1:9" ht="13.8">
      <c r="A13" s="757" t="s">
        <v>187</v>
      </c>
      <c r="B13" s="758"/>
      <c r="C13" s="758"/>
      <c r="D13" s="758"/>
      <c r="E13" s="758"/>
      <c r="F13" s="758"/>
      <c r="G13" s="758"/>
    </row>
    <row r="14" spans="1:9">
      <c r="A14" s="3"/>
    </row>
    <row r="15" spans="1:9">
      <c r="A15" s="32"/>
      <c r="B15" s="759" t="s">
        <v>657</v>
      </c>
      <c r="C15" s="760"/>
      <c r="D15" s="760"/>
      <c r="E15" s="761"/>
    </row>
    <row r="16" spans="1:9" ht="12" thickBot="1">
      <c r="A16" s="3"/>
    </row>
    <row r="17" spans="2:8" ht="12" thickBot="1">
      <c r="B17" s="10"/>
      <c r="C17" s="11"/>
      <c r="D17" s="12"/>
      <c r="E17" s="33"/>
      <c r="F17" s="13"/>
      <c r="G17" s="14"/>
    </row>
    <row r="18" spans="2:8" hidden="1">
      <c r="B18" s="86"/>
      <c r="C18" s="762" t="s">
        <v>188</v>
      </c>
      <c r="D18" s="763"/>
      <c r="E18" s="726">
        <v>8.5</v>
      </c>
      <c r="F18" s="19" t="s">
        <v>189</v>
      </c>
      <c r="G18" s="23"/>
    </row>
    <row r="19" spans="2:8" ht="13.2" hidden="1">
      <c r="B19" s="15"/>
      <c r="C19" s="764" t="s">
        <v>190</v>
      </c>
      <c r="D19" s="765"/>
      <c r="E19" s="18">
        <v>2</v>
      </c>
      <c r="F19" s="19" t="s">
        <v>191</v>
      </c>
      <c r="G19" s="20"/>
    </row>
    <row r="20" spans="2:8" hidden="1">
      <c r="B20" s="15"/>
      <c r="C20" s="764" t="s">
        <v>192</v>
      </c>
      <c r="D20" s="765"/>
      <c r="E20" s="396">
        <f>(E7/E10/E18)/E19</f>
        <v>14.675433056658246</v>
      </c>
      <c r="F20" s="340" t="s">
        <v>193</v>
      </c>
      <c r="G20" s="23"/>
    </row>
    <row r="21" spans="2:8" ht="12" hidden="1" thickBot="1">
      <c r="B21" s="24"/>
      <c r="C21" s="16"/>
      <c r="D21" s="19"/>
      <c r="E21" s="221"/>
      <c r="F21" s="22"/>
      <c r="G21" s="35"/>
    </row>
    <row r="22" spans="2:8">
      <c r="B22" s="339" t="s">
        <v>194</v>
      </c>
      <c r="C22" s="11"/>
      <c r="D22" s="12"/>
      <c r="E22" s="33" t="s">
        <v>195</v>
      </c>
      <c r="F22" s="33"/>
      <c r="G22" s="14"/>
    </row>
    <row r="23" spans="2:8">
      <c r="B23" s="15"/>
      <c r="C23" s="37" t="s">
        <v>196</v>
      </c>
      <c r="D23" s="38">
        <v>1</v>
      </c>
      <c r="E23" s="258">
        <v>15</v>
      </c>
      <c r="F23" s="19" t="s">
        <v>197</v>
      </c>
      <c r="G23" s="23"/>
    </row>
    <row r="24" spans="2:8" ht="12.75" customHeight="1">
      <c r="B24" s="15"/>
      <c r="C24" s="37" t="s">
        <v>198</v>
      </c>
      <c r="D24" s="41">
        <v>0.9</v>
      </c>
      <c r="E24" s="39">
        <v>11</v>
      </c>
      <c r="F24" s="19" t="s">
        <v>197</v>
      </c>
      <c r="G24" s="20"/>
    </row>
    <row r="25" spans="2:8" ht="13.2">
      <c r="B25" s="15"/>
      <c r="C25" s="37" t="s">
        <v>199</v>
      </c>
      <c r="D25" s="41">
        <v>0.1</v>
      </c>
      <c r="E25" s="39">
        <v>1</v>
      </c>
      <c r="F25" s="19" t="s">
        <v>197</v>
      </c>
      <c r="G25" s="20"/>
    </row>
    <row r="26" spans="2:8" ht="12.75" customHeight="1" thickBot="1">
      <c r="B26" s="24"/>
      <c r="C26" s="25"/>
      <c r="D26" s="26"/>
      <c r="E26" s="223"/>
      <c r="F26" s="28"/>
      <c r="G26" s="29"/>
    </row>
    <row r="27" spans="2:8" hidden="1">
      <c r="B27" s="43" t="s">
        <v>200</v>
      </c>
      <c r="C27" s="11"/>
      <c r="D27" s="12"/>
      <c r="E27" s="33"/>
      <c r="F27" s="44"/>
      <c r="G27" s="14"/>
    </row>
    <row r="28" spans="2:8" hidden="1">
      <c r="B28" s="775"/>
      <c r="C28" s="16"/>
      <c r="D28" s="17" t="s">
        <v>201</v>
      </c>
      <c r="E28" s="45" t="s">
        <v>202</v>
      </c>
      <c r="F28" s="45" t="s">
        <v>203</v>
      </c>
      <c r="G28" s="23"/>
    </row>
    <row r="29" spans="2:8" hidden="1">
      <c r="B29" s="775"/>
      <c r="C29" s="16"/>
      <c r="D29" s="37" t="s">
        <v>204</v>
      </c>
      <c r="E29" s="259">
        <v>4</v>
      </c>
      <c r="F29" s="259">
        <v>0</v>
      </c>
      <c r="G29" s="23"/>
    </row>
    <row r="30" spans="2:8" hidden="1">
      <c r="B30" s="775"/>
      <c r="C30" s="16"/>
      <c r="D30" s="37" t="s">
        <v>490</v>
      </c>
      <c r="E30" s="259">
        <v>0</v>
      </c>
      <c r="F30" s="259">
        <v>0</v>
      </c>
      <c r="G30" s="23"/>
    </row>
    <row r="31" spans="2:8" hidden="1">
      <c r="B31" s="775"/>
      <c r="C31" s="16"/>
      <c r="D31" s="37" t="s">
        <v>205</v>
      </c>
      <c r="E31" s="259">
        <v>0</v>
      </c>
      <c r="F31" s="259"/>
      <c r="G31" s="23"/>
    </row>
    <row r="32" spans="2:8" ht="13.2" hidden="1">
      <c r="B32" s="775"/>
      <c r="C32" s="16"/>
      <c r="D32" s="37" t="s">
        <v>206</v>
      </c>
      <c r="E32" s="259">
        <f>ROUND(E25,0)</f>
        <v>1</v>
      </c>
      <c r="F32" s="259" t="s">
        <v>166</v>
      </c>
      <c r="G32" s="20"/>
      <c r="H32" s="226"/>
    </row>
    <row r="33" spans="1:8" hidden="1">
      <c r="B33" s="775"/>
      <c r="C33" s="16"/>
      <c r="D33" s="37" t="s">
        <v>207</v>
      </c>
      <c r="E33" s="39">
        <f>E29+E30</f>
        <v>4</v>
      </c>
      <c r="F33" s="39">
        <v>0</v>
      </c>
      <c r="G33" s="23"/>
      <c r="H33" s="226"/>
    </row>
    <row r="34" spans="1:8" ht="11.25" hidden="1" customHeight="1" thickBot="1">
      <c r="B34" s="776"/>
      <c r="C34" s="25"/>
      <c r="D34" s="48"/>
      <c r="E34" s="48"/>
      <c r="F34" s="48"/>
      <c r="G34" s="49"/>
      <c r="H34" s="226"/>
    </row>
    <row r="35" spans="1:8" ht="12.75" customHeight="1">
      <c r="C35" s="50"/>
      <c r="D35" s="42"/>
      <c r="H35" s="226"/>
    </row>
    <row r="36" spans="1:8" ht="12.75" customHeight="1">
      <c r="A36" s="757" t="s">
        <v>208</v>
      </c>
      <c r="B36" s="758"/>
      <c r="C36" s="758"/>
      <c r="D36" s="758"/>
      <c r="E36" s="758"/>
      <c r="F36" s="758"/>
      <c r="G36" s="758"/>
      <c r="H36" s="226"/>
    </row>
    <row r="37" spans="1:8" ht="12.75" customHeight="1">
      <c r="H37" s="226"/>
    </row>
    <row r="38" spans="1:8">
      <c r="B38" s="34"/>
      <c r="C38" s="51"/>
      <c r="H38" s="226"/>
    </row>
    <row r="39" spans="1:8">
      <c r="A39" s="52"/>
      <c r="B39" s="766" t="s">
        <v>518</v>
      </c>
      <c r="C39" s="760"/>
      <c r="D39" s="760"/>
      <c r="E39" s="760"/>
      <c r="F39" s="760"/>
      <c r="G39" s="761"/>
      <c r="H39" s="226"/>
    </row>
    <row r="40" spans="1:8">
      <c r="A40" s="52"/>
      <c r="B40" s="244" t="s">
        <v>538</v>
      </c>
      <c r="C40" s="53">
        <v>15</v>
      </c>
      <c r="D40" s="52"/>
      <c r="E40" s="52"/>
      <c r="F40" s="52"/>
      <c r="G40" s="52"/>
      <c r="H40" s="226"/>
    </row>
    <row r="41" spans="1:8">
      <c r="A41" s="52"/>
      <c r="B41" s="244" t="s">
        <v>539</v>
      </c>
      <c r="C41" s="53">
        <v>11</v>
      </c>
      <c r="D41" s="52"/>
      <c r="E41" s="52"/>
      <c r="F41" s="52"/>
      <c r="G41" s="52"/>
      <c r="H41" s="226"/>
    </row>
    <row r="42" spans="1:8">
      <c r="A42" s="52"/>
      <c r="B42" s="244" t="s">
        <v>540</v>
      </c>
      <c r="C42" s="53">
        <v>48</v>
      </c>
      <c r="D42" s="52"/>
      <c r="E42" s="52"/>
      <c r="F42" s="3"/>
      <c r="G42" s="3"/>
    </row>
    <row r="43" spans="1:8">
      <c r="A43" s="52"/>
      <c r="B43" s="244" t="s">
        <v>541</v>
      </c>
      <c r="C43" s="53">
        <v>33</v>
      </c>
      <c r="D43" s="52"/>
      <c r="E43" s="52"/>
      <c r="F43" s="3"/>
      <c r="G43" s="3"/>
    </row>
    <row r="44" spans="1:8">
      <c r="A44" s="52"/>
      <c r="B44" s="244" t="s">
        <v>721</v>
      </c>
      <c r="C44" s="53">
        <v>1</v>
      </c>
      <c r="D44" s="52"/>
      <c r="E44" s="52"/>
      <c r="F44" s="3"/>
      <c r="G44" s="3"/>
    </row>
    <row r="45" spans="1:8" ht="12" thickBot="1"/>
    <row r="46" spans="1:8">
      <c r="B46" s="54"/>
      <c r="C46" s="13"/>
      <c r="D46" s="12"/>
      <c r="E46" s="13"/>
      <c r="F46" s="13"/>
      <c r="G46" s="14"/>
    </row>
    <row r="47" spans="1:8" hidden="1">
      <c r="B47" s="55"/>
      <c r="C47" s="56"/>
      <c r="D47" s="17" t="s">
        <v>212</v>
      </c>
      <c r="E47" s="21">
        <v>0</v>
      </c>
      <c r="F47" s="19"/>
      <c r="G47" s="23"/>
    </row>
    <row r="48" spans="1:8" hidden="1">
      <c r="B48" s="55"/>
      <c r="C48" s="341" t="s">
        <v>213</v>
      </c>
      <c r="D48" s="57" t="s">
        <v>209</v>
      </c>
      <c r="E48" s="21">
        <f>C38*(E29*C42)</f>
        <v>0</v>
      </c>
      <c r="F48" s="19"/>
      <c r="G48" s="23"/>
    </row>
    <row r="49" spans="2:7" ht="12" hidden="1" thickBot="1">
      <c r="B49" s="55"/>
      <c r="C49" s="59"/>
      <c r="D49" s="60" t="s">
        <v>210</v>
      </c>
      <c r="E49" s="21" t="e">
        <f>C38*#REF!</f>
        <v>#REF!</v>
      </c>
      <c r="F49" s="19"/>
      <c r="G49" s="23"/>
    </row>
    <row r="50" spans="2:7" hidden="1">
      <c r="B50" s="55"/>
      <c r="C50" s="56"/>
      <c r="D50" s="17" t="s">
        <v>212</v>
      </c>
      <c r="E50" s="21">
        <v>0</v>
      </c>
      <c r="F50" s="19"/>
      <c r="G50" s="23"/>
    </row>
    <row r="51" spans="2:7" hidden="1">
      <c r="B51" s="55"/>
      <c r="C51" s="341" t="s">
        <v>214</v>
      </c>
      <c r="D51" s="57" t="s">
        <v>209</v>
      </c>
      <c r="E51" s="21">
        <f>C38*(E30*C42)</f>
        <v>0</v>
      </c>
      <c r="F51" s="19"/>
      <c r="G51" s="23"/>
    </row>
    <row r="52" spans="2:7" ht="12" hidden="1" thickBot="1">
      <c r="B52" s="55"/>
      <c r="C52" s="59"/>
      <c r="D52" s="60" t="s">
        <v>211</v>
      </c>
      <c r="E52" s="21" t="e">
        <f>C38*#REF!</f>
        <v>#REF!</v>
      </c>
      <c r="F52" s="19"/>
      <c r="G52" s="23"/>
    </row>
    <row r="53" spans="2:7">
      <c r="B53" s="61"/>
      <c r="C53" s="342" t="s">
        <v>215</v>
      </c>
      <c r="D53" s="57" t="s">
        <v>56</v>
      </c>
      <c r="E53" s="21">
        <f>C40</f>
        <v>15</v>
      </c>
      <c r="F53" s="19"/>
      <c r="G53" s="23"/>
    </row>
    <row r="54" spans="2:7">
      <c r="B54" s="61"/>
      <c r="C54" s="58"/>
      <c r="D54" s="57" t="s">
        <v>209</v>
      </c>
      <c r="E54" s="21">
        <f>C42</f>
        <v>48</v>
      </c>
      <c r="F54" s="19"/>
      <c r="G54" s="23"/>
    </row>
    <row r="55" spans="2:7" ht="12" thickBot="1">
      <c r="B55" s="61"/>
      <c r="C55" s="59"/>
      <c r="D55" s="60" t="s">
        <v>721</v>
      </c>
      <c r="E55" s="21">
        <f>C44</f>
        <v>1</v>
      </c>
      <c r="F55" s="19"/>
      <c r="G55" s="23"/>
    </row>
    <row r="56" spans="2:7">
      <c r="B56" s="15"/>
      <c r="C56" s="342" t="s">
        <v>216</v>
      </c>
      <c r="D56" s="57" t="s">
        <v>56</v>
      </c>
      <c r="E56" s="21">
        <f>C41</f>
        <v>11</v>
      </c>
      <c r="F56" s="19"/>
      <c r="G56" s="23"/>
    </row>
    <row r="57" spans="2:7">
      <c r="B57" s="15"/>
      <c r="C57" s="58"/>
      <c r="D57" s="57" t="s">
        <v>209</v>
      </c>
      <c r="E57" s="21">
        <f>C43</f>
        <v>33</v>
      </c>
      <c r="F57" s="19"/>
      <c r="G57" s="23"/>
    </row>
    <row r="58" spans="2:7" ht="13.8" thickBot="1">
      <c r="B58" s="15"/>
      <c r="C58" s="59"/>
      <c r="D58" s="60" t="s">
        <v>211</v>
      </c>
      <c r="E58" s="18">
        <v>0</v>
      </c>
      <c r="F58" s="19"/>
      <c r="G58" s="20"/>
    </row>
    <row r="59" spans="2:7">
      <c r="B59" s="15"/>
      <c r="C59" s="342" t="s">
        <v>217</v>
      </c>
      <c r="D59" s="17" t="s">
        <v>56</v>
      </c>
      <c r="E59" s="21">
        <f>E53+E56</f>
        <v>26</v>
      </c>
      <c r="F59" s="19"/>
      <c r="G59" s="23"/>
    </row>
    <row r="60" spans="2:7">
      <c r="B60" s="15"/>
      <c r="C60" s="117" t="s">
        <v>218</v>
      </c>
      <c r="D60" s="17" t="s">
        <v>209</v>
      </c>
      <c r="E60" s="21">
        <f>E54+E57</f>
        <v>81</v>
      </c>
      <c r="F60" s="19"/>
      <c r="G60" s="23"/>
    </row>
    <row r="61" spans="2:7">
      <c r="B61" s="15"/>
      <c r="C61" s="117"/>
      <c r="D61" s="17" t="s">
        <v>721</v>
      </c>
      <c r="E61" s="21">
        <v>1</v>
      </c>
      <c r="F61" s="19"/>
      <c r="G61" s="23"/>
    </row>
    <row r="62" spans="2:7" hidden="1">
      <c r="B62" s="15"/>
      <c r="C62" s="117"/>
      <c r="D62" s="17" t="s">
        <v>219</v>
      </c>
      <c r="E62" s="21">
        <v>0</v>
      </c>
      <c r="F62" s="19"/>
      <c r="G62" s="35"/>
    </row>
    <row r="63" spans="2:7" ht="12" thickBot="1">
      <c r="B63" s="24"/>
      <c r="C63" s="25"/>
      <c r="D63" s="26"/>
      <c r="E63" s="28"/>
      <c r="F63" s="28"/>
      <c r="G63" s="29"/>
    </row>
    <row r="64" spans="2:7">
      <c r="C64" s="63"/>
      <c r="D64" s="64"/>
      <c r="F64" s="65"/>
      <c r="G64" s="63"/>
    </row>
    <row r="65" spans="1:8" ht="13.8">
      <c r="A65" s="757" t="s">
        <v>220</v>
      </c>
      <c r="B65" s="758"/>
      <c r="C65" s="758"/>
      <c r="D65" s="758"/>
      <c r="E65" s="758"/>
      <c r="F65" s="758"/>
      <c r="G65" s="758"/>
    </row>
    <row r="67" spans="1:8">
      <c r="A67" s="767" t="s">
        <v>221</v>
      </c>
      <c r="B67" s="767"/>
      <c r="C67" s="767"/>
      <c r="D67" s="767"/>
      <c r="E67" s="767"/>
      <c r="F67" s="767"/>
      <c r="G67" s="767"/>
    </row>
    <row r="68" spans="1:8" ht="12" thickBot="1"/>
    <row r="69" spans="1:8">
      <c r="B69" s="343" t="s">
        <v>222</v>
      </c>
      <c r="C69" s="67" t="s">
        <v>223</v>
      </c>
      <c r="D69" s="67" t="s">
        <v>224</v>
      </c>
      <c r="E69" s="68" t="s">
        <v>225</v>
      </c>
      <c r="F69" s="13"/>
      <c r="G69" s="14"/>
    </row>
    <row r="70" spans="1:8">
      <c r="B70" s="69" t="s">
        <v>56</v>
      </c>
      <c r="C70" s="70">
        <f>E53</f>
        <v>15</v>
      </c>
      <c r="D70" s="71">
        <v>2500</v>
      </c>
      <c r="E70" s="72">
        <f>+D70*C70</f>
        <v>37500</v>
      </c>
      <c r="F70" s="19"/>
      <c r="G70" s="23"/>
    </row>
    <row r="71" spans="1:8">
      <c r="B71" s="358" t="s">
        <v>519</v>
      </c>
      <c r="C71" s="70">
        <f>E54</f>
        <v>48</v>
      </c>
      <c r="D71" s="71">
        <v>1533.63</v>
      </c>
      <c r="E71" s="72">
        <f>+D71*C71</f>
        <v>73614.240000000005</v>
      </c>
      <c r="F71" s="19"/>
      <c r="G71" s="23"/>
      <c r="H71" s="400">
        <f>D70+D76</f>
        <v>3068</v>
      </c>
    </row>
    <row r="72" spans="1:8">
      <c r="B72" s="69" t="s">
        <v>721</v>
      </c>
      <c r="C72" s="70">
        <f>E61</f>
        <v>1</v>
      </c>
      <c r="D72" s="71">
        <v>3068</v>
      </c>
      <c r="E72" s="72">
        <f>+D72*C72</f>
        <v>3068</v>
      </c>
      <c r="F72" s="19"/>
      <c r="G72" s="23"/>
    </row>
    <row r="73" spans="1:8">
      <c r="B73" s="73"/>
      <c r="C73" s="74"/>
      <c r="D73" s="75" t="s">
        <v>228</v>
      </c>
      <c r="E73" s="76">
        <f>SUM(E70:E72)</f>
        <v>114182.24</v>
      </c>
      <c r="F73" s="77" t="s">
        <v>229</v>
      </c>
      <c r="G73" s="23"/>
      <c r="H73" s="400">
        <f>D71+D77</f>
        <v>2101.63</v>
      </c>
    </row>
    <row r="74" spans="1:8">
      <c r="B74" s="78"/>
      <c r="C74" s="79"/>
      <c r="D74" s="19"/>
      <c r="E74" s="80"/>
      <c r="F74" s="80"/>
      <c r="G74" s="23"/>
    </row>
    <row r="75" spans="1:8">
      <c r="B75" s="81" t="s">
        <v>230</v>
      </c>
      <c r="C75" s="82" t="s">
        <v>223</v>
      </c>
      <c r="D75" s="83" t="s">
        <v>224</v>
      </c>
      <c r="E75" s="83" t="s">
        <v>225</v>
      </c>
      <c r="F75" s="19"/>
      <c r="G75" s="23"/>
    </row>
    <row r="76" spans="1:8">
      <c r="B76" s="69" t="s">
        <v>56</v>
      </c>
      <c r="C76" s="70">
        <f>E53</f>
        <v>15</v>
      </c>
      <c r="D76" s="71">
        <v>568</v>
      </c>
      <c r="E76" s="72">
        <f>+D76*C76</f>
        <v>8520</v>
      </c>
      <c r="F76" s="19"/>
      <c r="G76" s="23"/>
    </row>
    <row r="77" spans="1:8">
      <c r="B77" s="358" t="s">
        <v>519</v>
      </c>
      <c r="C77" s="70">
        <f>E54</f>
        <v>48</v>
      </c>
      <c r="D77" s="71">
        <f>D76</f>
        <v>568</v>
      </c>
      <c r="E77" s="72">
        <f>+D77*C77</f>
        <v>27264</v>
      </c>
      <c r="F77" s="19"/>
      <c r="G77" s="23"/>
    </row>
    <row r="78" spans="1:8">
      <c r="B78" s="69" t="s">
        <v>721</v>
      </c>
      <c r="C78" s="70">
        <f>C72</f>
        <v>1</v>
      </c>
      <c r="D78" s="71">
        <f>D77</f>
        <v>568</v>
      </c>
      <c r="E78" s="72">
        <f>+D78*C78</f>
        <v>568</v>
      </c>
      <c r="F78" s="19"/>
      <c r="G78" s="23"/>
    </row>
    <row r="79" spans="1:8">
      <c r="B79" s="73"/>
      <c r="C79" s="74"/>
      <c r="D79" s="75" t="s">
        <v>231</v>
      </c>
      <c r="E79" s="76">
        <f>SUM(E76:E78)</f>
        <v>36352</v>
      </c>
      <c r="F79" s="77" t="s">
        <v>229</v>
      </c>
      <c r="G79" s="23"/>
    </row>
    <row r="80" spans="1:8">
      <c r="B80" s="78"/>
      <c r="C80" s="79"/>
      <c r="D80" s="74"/>
      <c r="E80" s="80"/>
      <c r="F80" s="80"/>
      <c r="G80" s="23"/>
    </row>
    <row r="81" spans="2:8" hidden="1">
      <c r="B81" s="81" t="s">
        <v>232</v>
      </c>
      <c r="C81" s="768" t="s">
        <v>233</v>
      </c>
      <c r="D81" s="769"/>
      <c r="E81" s="83">
        <v>0</v>
      </c>
      <c r="F81" s="245"/>
      <c r="G81" s="23"/>
    </row>
    <row r="82" spans="2:8" hidden="1">
      <c r="B82" s="81"/>
      <c r="C82" s="768" t="s">
        <v>234</v>
      </c>
      <c r="D82" s="769"/>
      <c r="E82" s="83">
        <v>0</v>
      </c>
      <c r="F82" s="245"/>
      <c r="G82" s="23"/>
    </row>
    <row r="83" spans="2:8" hidden="1">
      <c r="B83" s="81"/>
      <c r="C83" s="82" t="s">
        <v>223</v>
      </c>
      <c r="D83" s="83" t="s">
        <v>224</v>
      </c>
      <c r="E83" s="83" t="s">
        <v>225</v>
      </c>
      <c r="F83" s="19"/>
      <c r="G83" s="23"/>
      <c r="H83" s="226"/>
    </row>
    <row r="84" spans="2:8" hidden="1">
      <c r="B84" s="69" t="s">
        <v>56</v>
      </c>
      <c r="C84" s="70">
        <f>E53</f>
        <v>15</v>
      </c>
      <c r="D84" s="71">
        <f>(('DADOS DE ENTRADA'!B23+D76)/'DADOS DE ENTRADA'!B9)*'DADOS DE ENTRADA'!B30*E81</f>
        <v>0</v>
      </c>
      <c r="E84" s="72">
        <f>ROUND(+D84*C84,2)</f>
        <v>0</v>
      </c>
      <c r="F84" s="245"/>
      <c r="G84" s="23"/>
      <c r="H84" s="226"/>
    </row>
    <row r="85" spans="2:8" hidden="1">
      <c r="B85" s="69" t="s">
        <v>226</v>
      </c>
      <c r="C85" s="70">
        <f>E54</f>
        <v>48</v>
      </c>
      <c r="D85" s="71">
        <f>(('DADOS DE ENTRADA'!B14+D77)/'DADOS DE ENTRADA'!B9)*'DADOS DE ENTRADA'!B30*E82</f>
        <v>0</v>
      </c>
      <c r="E85" s="72">
        <f>+D85*C85</f>
        <v>0</v>
      </c>
      <c r="F85" s="19"/>
      <c r="G85" s="23"/>
    </row>
    <row r="86" spans="2:8" hidden="1">
      <c r="B86" s="69" t="s">
        <v>227</v>
      </c>
      <c r="C86" s="70">
        <v>2</v>
      </c>
      <c r="D86" s="71">
        <f>(('DADOS DE ENTRADA'!B21+D78)/'DADOS DE ENTRADA'!B9)*'DADOS DE ENTRADA'!B30*E82</f>
        <v>0</v>
      </c>
      <c r="E86" s="72">
        <f>D86*C86</f>
        <v>0</v>
      </c>
      <c r="F86" s="19"/>
      <c r="G86" s="23"/>
    </row>
    <row r="87" spans="2:8" hidden="1">
      <c r="B87" s="73"/>
      <c r="C87" s="74"/>
      <c r="D87" s="75" t="s">
        <v>235</v>
      </c>
      <c r="E87" s="76">
        <f>ROUND(SUM(E84:E86),2)</f>
        <v>0</v>
      </c>
      <c r="F87" s="77" t="s">
        <v>229</v>
      </c>
      <c r="G87" s="23"/>
    </row>
    <row r="88" spans="2:8" hidden="1">
      <c r="B88" s="78"/>
      <c r="C88" s="84"/>
      <c r="D88" s="74"/>
      <c r="E88" s="80"/>
      <c r="F88" s="85"/>
      <c r="G88" s="23"/>
    </row>
    <row r="89" spans="2:8" hidden="1">
      <c r="B89" s="81" t="s">
        <v>236</v>
      </c>
      <c r="C89" s="768" t="s">
        <v>237</v>
      </c>
      <c r="D89" s="769"/>
      <c r="E89" s="83">
        <v>0</v>
      </c>
      <c r="F89" s="245"/>
      <c r="G89" s="23"/>
    </row>
    <row r="90" spans="2:8" hidden="1">
      <c r="B90" s="246" t="s">
        <v>238</v>
      </c>
      <c r="C90" s="768" t="s">
        <v>234</v>
      </c>
      <c r="D90" s="769"/>
      <c r="E90" s="83">
        <v>0</v>
      </c>
      <c r="F90" s="245"/>
      <c r="G90" s="23"/>
    </row>
    <row r="91" spans="2:8" hidden="1">
      <c r="B91" s="246"/>
      <c r="C91" s="82" t="s">
        <v>223</v>
      </c>
      <c r="D91" s="83" t="s">
        <v>224</v>
      </c>
      <c r="E91" s="83" t="s">
        <v>225</v>
      </c>
      <c r="F91" s="19"/>
      <c r="G91" s="23"/>
    </row>
    <row r="92" spans="2:8" hidden="1">
      <c r="B92" s="69" t="s">
        <v>56</v>
      </c>
      <c r="C92" s="70">
        <f>E53</f>
        <v>15</v>
      </c>
      <c r="D92" s="71">
        <f>(('DADOS DE ENTRADA'!B23+D76)/'DADOS DE ENTRADA'!B9)*'DADOS DE ENTRADA'!B31*E89</f>
        <v>0</v>
      </c>
      <c r="E92" s="72">
        <f>ROUND(+D92*C92,2)</f>
        <v>0</v>
      </c>
      <c r="F92" s="245"/>
      <c r="G92" s="23"/>
    </row>
    <row r="93" spans="2:8" hidden="1">
      <c r="B93" s="69" t="s">
        <v>226</v>
      </c>
      <c r="C93" s="70">
        <f>E54</f>
        <v>48</v>
      </c>
      <c r="D93" s="71">
        <f>(('DADOS DE ENTRADA'!B14+D77)/'DADOS DE ENTRADA'!B9)*'DADOS DE ENTRADA'!B31*E90</f>
        <v>0</v>
      </c>
      <c r="E93" s="72">
        <f>+D93*C93</f>
        <v>0</v>
      </c>
      <c r="F93" s="19"/>
      <c r="G93" s="23"/>
    </row>
    <row r="94" spans="2:8" hidden="1">
      <c r="B94" s="69" t="s">
        <v>227</v>
      </c>
      <c r="C94" s="70">
        <v>0</v>
      </c>
      <c r="D94" s="71">
        <f>(('DADOS DE ENTRADA'!B21+D78)/'DADOS DE ENTRADA'!B9)*'DADOS DE ENTRADA'!B31*E90</f>
        <v>0</v>
      </c>
      <c r="E94" s="72">
        <f>D94*C94</f>
        <v>0</v>
      </c>
      <c r="F94" s="19"/>
      <c r="G94" s="23"/>
    </row>
    <row r="95" spans="2:8" hidden="1">
      <c r="B95" s="73"/>
      <c r="C95" s="74"/>
      <c r="D95" s="75" t="s">
        <v>239</v>
      </c>
      <c r="E95" s="76">
        <f>ROUND(SUM(E92:E94),2)</f>
        <v>0</v>
      </c>
      <c r="F95" s="77" t="s">
        <v>229</v>
      </c>
      <c r="G95" s="23"/>
    </row>
    <row r="96" spans="2:8" hidden="1">
      <c r="B96" s="78"/>
      <c r="C96" s="84"/>
      <c r="D96" s="74"/>
      <c r="E96" s="80"/>
      <c r="F96" s="85"/>
      <c r="G96" s="23"/>
    </row>
    <row r="97" spans="2:7" hidden="1">
      <c r="B97" s="81" t="s">
        <v>240</v>
      </c>
      <c r="C97" s="768" t="s">
        <v>237</v>
      </c>
      <c r="D97" s="769"/>
      <c r="E97" s="83">
        <f>4.33*7.83</f>
        <v>33.9039</v>
      </c>
      <c r="F97" s="245"/>
      <c r="G97" s="23"/>
    </row>
    <row r="98" spans="2:7" hidden="1">
      <c r="B98" s="246" t="s">
        <v>241</v>
      </c>
      <c r="C98" s="768" t="s">
        <v>234</v>
      </c>
      <c r="D98" s="769"/>
      <c r="E98" s="83">
        <f>4.33*7.33</f>
        <v>31.738900000000001</v>
      </c>
      <c r="F98" s="245"/>
      <c r="G98" s="23"/>
    </row>
    <row r="99" spans="2:7" hidden="1">
      <c r="B99" s="246"/>
      <c r="C99" s="82" t="s">
        <v>223</v>
      </c>
      <c r="D99" s="83" t="s">
        <v>224</v>
      </c>
      <c r="E99" s="83" t="s">
        <v>225</v>
      </c>
      <c r="F99" s="19"/>
      <c r="G99" s="23"/>
    </row>
    <row r="100" spans="2:7" hidden="1">
      <c r="B100" s="69" t="s">
        <v>56</v>
      </c>
      <c r="C100" s="70">
        <v>0</v>
      </c>
      <c r="D100" s="71">
        <f>(('DADOS DE ENTRADA'!B23+D76)/'DADOS DE ENTRADA'!B9)*'DADOS DE ENTRADA'!B31*E97</f>
        <v>948.41536990909083</v>
      </c>
      <c r="E100" s="72">
        <f>ROUND(+D100*C100,2)</f>
        <v>0</v>
      </c>
      <c r="F100" s="245"/>
      <c r="G100" s="23"/>
    </row>
    <row r="101" spans="2:7" hidden="1">
      <c r="B101" s="69" t="s">
        <v>226</v>
      </c>
      <c r="C101" s="70">
        <v>0</v>
      </c>
      <c r="D101" s="71">
        <f>(('DADOS DE ENTRADA'!B14+D77)/'DADOS DE ENTRADA'!B9)*'DADOS DE ENTRADA'!B31*E98</f>
        <v>516.36882016363631</v>
      </c>
      <c r="E101" s="72">
        <f>+D101*C101</f>
        <v>0</v>
      </c>
      <c r="F101" s="19"/>
      <c r="G101" s="23"/>
    </row>
    <row r="102" spans="2:7" hidden="1">
      <c r="B102" s="69" t="s">
        <v>227</v>
      </c>
      <c r="C102" s="70">
        <v>0</v>
      </c>
      <c r="D102" s="71">
        <f>(('DADOS DE ENTRADA'!B21+D78)/'DADOS DE ENTRADA'!B9)*'DADOS DE ENTRADA'!B31*E98</f>
        <v>551.36240009090909</v>
      </c>
      <c r="E102" s="72">
        <f>D102*C102</f>
        <v>0</v>
      </c>
      <c r="F102" s="19"/>
      <c r="G102" s="23"/>
    </row>
    <row r="103" spans="2:7" hidden="1">
      <c r="B103" s="73"/>
      <c r="C103" s="74"/>
      <c r="D103" s="75" t="s">
        <v>242</v>
      </c>
      <c r="E103" s="76">
        <f>ROUND(SUM(E100:E102),2)</f>
        <v>0</v>
      </c>
      <c r="F103" s="77" t="s">
        <v>229</v>
      </c>
      <c r="G103" s="23"/>
    </row>
    <row r="104" spans="2:7" hidden="1">
      <c r="B104" s="78"/>
      <c r="C104" s="84"/>
      <c r="D104" s="74"/>
      <c r="E104" s="80"/>
      <c r="F104" s="85"/>
      <c r="G104" s="23"/>
    </row>
    <row r="105" spans="2:7" hidden="1">
      <c r="B105" s="81" t="s">
        <v>243</v>
      </c>
      <c r="C105" s="768" t="s">
        <v>244</v>
      </c>
      <c r="D105" s="769"/>
      <c r="E105" s="83">
        <f>4.33+1.08</f>
        <v>5.41</v>
      </c>
      <c r="F105" s="85"/>
      <c r="G105" s="23"/>
    </row>
    <row r="106" spans="2:7" hidden="1">
      <c r="B106" s="81"/>
      <c r="C106" s="768" t="s">
        <v>5</v>
      </c>
      <c r="D106" s="769"/>
      <c r="E106" s="83">
        <f>'DADOS DE ENTRADA'!B5</f>
        <v>26.09</v>
      </c>
      <c r="F106" s="85"/>
      <c r="G106" s="23"/>
    </row>
    <row r="107" spans="2:7" hidden="1">
      <c r="B107" s="81"/>
      <c r="C107" s="82" t="s">
        <v>223</v>
      </c>
      <c r="D107" s="83" t="s">
        <v>224</v>
      </c>
      <c r="E107" s="83" t="s">
        <v>225</v>
      </c>
      <c r="F107" s="85"/>
      <c r="G107" s="23"/>
    </row>
    <row r="108" spans="2:7" hidden="1">
      <c r="B108" s="69" t="s">
        <v>56</v>
      </c>
      <c r="C108" s="70">
        <v>0</v>
      </c>
      <c r="D108" s="71">
        <f>((D84+D92+D100)/$E$106)*$E$105</f>
        <v>196.66259682668385</v>
      </c>
      <c r="E108" s="72">
        <f>ROUND(+D108*C108,2)</f>
        <v>0</v>
      </c>
      <c r="F108" s="85"/>
      <c r="G108" s="23"/>
    </row>
    <row r="109" spans="2:7" hidden="1">
      <c r="B109" s="69" t="s">
        <v>226</v>
      </c>
      <c r="C109" s="70">
        <v>0</v>
      </c>
      <c r="D109" s="71">
        <f>((D85+D93+D101)/$E$106)*$E$105</f>
        <v>107.0737952121607</v>
      </c>
      <c r="E109" s="72">
        <f>+D109*C109</f>
        <v>0</v>
      </c>
      <c r="F109" s="85"/>
      <c r="G109" s="23"/>
    </row>
    <row r="110" spans="2:7" hidden="1">
      <c r="B110" s="69" t="s">
        <v>227</v>
      </c>
      <c r="C110" s="70">
        <v>0</v>
      </c>
      <c r="D110" s="71">
        <f>((D86+D94+D102)/$E$106)*$E$105</f>
        <v>114.33003390156452</v>
      </c>
      <c r="E110" s="72">
        <f>D110*C110</f>
        <v>0</v>
      </c>
      <c r="F110" s="85"/>
      <c r="G110" s="23"/>
    </row>
    <row r="111" spans="2:7" hidden="1">
      <c r="B111" s="73"/>
      <c r="C111" s="74"/>
      <c r="D111" s="75" t="s">
        <v>245</v>
      </c>
      <c r="E111" s="76">
        <f>ROUND(SUM(E108:E110),2)</f>
        <v>0</v>
      </c>
      <c r="F111" s="85"/>
      <c r="G111" s="23"/>
    </row>
    <row r="112" spans="2:7">
      <c r="B112" s="78"/>
      <c r="C112" s="84"/>
      <c r="D112" s="74"/>
      <c r="E112" s="80"/>
      <c r="F112" s="85"/>
      <c r="G112" s="23"/>
    </row>
    <row r="113" spans="1:7">
      <c r="B113" s="86"/>
      <c r="C113" s="19"/>
      <c r="D113" s="344" t="s">
        <v>246</v>
      </c>
      <c r="E113" s="76">
        <f>ROUND(E79+E73+E87+E95+E103+E111,2)</f>
        <v>150534.24</v>
      </c>
      <c r="F113" s="77" t="s">
        <v>229</v>
      </c>
      <c r="G113" s="23"/>
    </row>
    <row r="114" spans="1:7">
      <c r="B114" s="78"/>
      <c r="C114" s="19"/>
      <c r="D114" s="19"/>
      <c r="E114" s="80"/>
      <c r="F114" s="80"/>
      <c r="G114" s="23"/>
    </row>
    <row r="115" spans="1:7">
      <c r="B115" s="345" t="s">
        <v>247</v>
      </c>
      <c r="C115" s="82" t="s">
        <v>223</v>
      </c>
      <c r="D115" s="83" t="s">
        <v>224</v>
      </c>
      <c r="E115" s="83" t="s">
        <v>225</v>
      </c>
      <c r="F115" s="19"/>
      <c r="G115" s="23"/>
    </row>
    <row r="116" spans="1:7">
      <c r="B116" s="346" t="s">
        <v>248</v>
      </c>
      <c r="C116" s="88">
        <v>0.95</v>
      </c>
      <c r="D116" s="89">
        <f>E113*C116</f>
        <v>143007.52799999999</v>
      </c>
      <c r="E116" s="72">
        <f>ROUND(+D116,2)</f>
        <v>143007.53</v>
      </c>
      <c r="F116" s="19"/>
      <c r="G116" s="23"/>
    </row>
    <row r="117" spans="1:7">
      <c r="B117" s="73"/>
      <c r="C117" s="79"/>
      <c r="D117" s="75" t="s">
        <v>249</v>
      </c>
      <c r="E117" s="76">
        <f>ROUND(SUM(E116),2)</f>
        <v>143007.53</v>
      </c>
      <c r="F117" s="77" t="s">
        <v>229</v>
      </c>
      <c r="G117" s="23"/>
    </row>
    <row r="118" spans="1:7">
      <c r="B118" s="78"/>
      <c r="C118" s="19"/>
      <c r="D118" s="19"/>
      <c r="E118" s="80"/>
      <c r="F118" s="80"/>
      <c r="G118" s="23"/>
    </row>
    <row r="119" spans="1:7">
      <c r="B119" s="86"/>
      <c r="C119" s="19"/>
      <c r="D119" s="344" t="s">
        <v>250</v>
      </c>
      <c r="E119" s="76">
        <f>ROUND(+E117+E113,2)</f>
        <v>293541.77</v>
      </c>
      <c r="F119" s="77" t="s">
        <v>229</v>
      </c>
      <c r="G119" s="23"/>
    </row>
    <row r="120" spans="1:7">
      <c r="B120" s="86"/>
      <c r="C120" s="19"/>
      <c r="D120" s="19"/>
      <c r="E120" s="85"/>
      <c r="F120" s="19"/>
      <c r="G120" s="23"/>
    </row>
    <row r="121" spans="1:7">
      <c r="A121" s="91"/>
      <c r="B121" s="345" t="s">
        <v>549</v>
      </c>
      <c r="C121" s="768"/>
      <c r="D121" s="769"/>
      <c r="E121" s="83"/>
      <c r="F121" s="19"/>
      <c r="G121" s="92"/>
    </row>
    <row r="122" spans="1:7">
      <c r="A122" s="91"/>
      <c r="B122" s="86"/>
      <c r="C122" s="82" t="s">
        <v>223</v>
      </c>
      <c r="D122" s="83" t="s">
        <v>224</v>
      </c>
      <c r="E122" s="83" t="s">
        <v>225</v>
      </c>
      <c r="F122" s="19"/>
      <c r="G122" s="92"/>
    </row>
    <row r="123" spans="1:7">
      <c r="B123" s="69" t="s">
        <v>56</v>
      </c>
      <c r="C123" s="70">
        <f>C76</f>
        <v>15</v>
      </c>
      <c r="D123" s="71">
        <f>4.95*52-0.006*H71</f>
        <v>238.99200000000002</v>
      </c>
      <c r="E123" s="72">
        <f>+D123*C123</f>
        <v>3584.88</v>
      </c>
      <c r="F123" s="19"/>
      <c r="G123" s="92"/>
    </row>
    <row r="124" spans="1:7">
      <c r="B124" s="69" t="s">
        <v>519</v>
      </c>
      <c r="C124" s="70">
        <f>C77</f>
        <v>48</v>
      </c>
      <c r="D124" s="71">
        <f>4.95*52-0.006*H73</f>
        <v>244.79022000000003</v>
      </c>
      <c r="E124" s="72">
        <f>+D124*C124</f>
        <v>11749.930560000001</v>
      </c>
      <c r="F124" s="19"/>
      <c r="G124" s="92"/>
    </row>
    <row r="125" spans="1:7">
      <c r="B125" s="69" t="s">
        <v>721</v>
      </c>
      <c r="C125" s="70">
        <v>1</v>
      </c>
      <c r="D125" s="71">
        <f>D123</f>
        <v>238.99200000000002</v>
      </c>
      <c r="E125" s="72">
        <f>D125*C125</f>
        <v>238.99200000000002</v>
      </c>
      <c r="F125" s="19"/>
      <c r="G125" s="92"/>
    </row>
    <row r="126" spans="1:7" ht="12" customHeight="1">
      <c r="A126" s="34"/>
      <c r="B126" s="73"/>
      <c r="C126" s="74"/>
      <c r="D126" s="75" t="s">
        <v>251</v>
      </c>
      <c r="E126" s="76">
        <f>SUM(E123:E125)</f>
        <v>15573.802560000002</v>
      </c>
      <c r="F126" s="77" t="s">
        <v>229</v>
      </c>
      <c r="G126" s="92"/>
    </row>
    <row r="127" spans="1:7">
      <c r="B127" s="78"/>
      <c r="C127" s="79"/>
      <c r="D127" s="74"/>
      <c r="E127" s="74"/>
      <c r="F127" s="93"/>
      <c r="G127" s="23"/>
    </row>
    <row r="128" spans="1:7">
      <c r="B128" s="345" t="s">
        <v>479</v>
      </c>
      <c r="C128" s="82" t="s">
        <v>223</v>
      </c>
      <c r="D128" s="82" t="s">
        <v>224</v>
      </c>
      <c r="E128" s="94" t="s">
        <v>225</v>
      </c>
      <c r="F128" s="19"/>
      <c r="G128" s="92"/>
    </row>
    <row r="129" spans="1:7">
      <c r="B129" s="69" t="s">
        <v>56</v>
      </c>
      <c r="C129" s="70">
        <f>E53</f>
        <v>15</v>
      </c>
      <c r="D129" s="71">
        <v>904.68</v>
      </c>
      <c r="E129" s="72">
        <f>ROUND(+D129*C129,2)</f>
        <v>13570.2</v>
      </c>
      <c r="F129" s="19"/>
      <c r="G129" s="92"/>
    </row>
    <row r="130" spans="1:7">
      <c r="B130" s="358" t="s">
        <v>519</v>
      </c>
      <c r="C130" s="70">
        <f>E54</f>
        <v>48</v>
      </c>
      <c r="D130" s="71">
        <f>D129</f>
        <v>904.68</v>
      </c>
      <c r="E130" s="72">
        <f>ROUND(+D130*C130,2)</f>
        <v>43424.639999999999</v>
      </c>
      <c r="F130" s="19"/>
      <c r="G130" s="92"/>
    </row>
    <row r="131" spans="1:7">
      <c r="B131" s="69" t="s">
        <v>721</v>
      </c>
      <c r="C131" s="70">
        <v>1</v>
      </c>
      <c r="D131" s="71">
        <v>904.68</v>
      </c>
      <c r="E131" s="72">
        <f>D131*C131</f>
        <v>904.68</v>
      </c>
      <c r="F131" s="19"/>
      <c r="G131" s="92"/>
    </row>
    <row r="132" spans="1:7">
      <c r="B132" s="73"/>
      <c r="C132" s="74"/>
      <c r="D132" s="75" t="s">
        <v>252</v>
      </c>
      <c r="E132" s="76">
        <f>SUM(E129:E131)</f>
        <v>57899.519999999997</v>
      </c>
      <c r="F132" s="77" t="s">
        <v>229</v>
      </c>
      <c r="G132" s="92"/>
    </row>
    <row r="133" spans="1:7">
      <c r="B133" s="78"/>
      <c r="C133" s="79"/>
      <c r="D133" s="74"/>
      <c r="E133" s="74"/>
      <c r="F133" s="93"/>
      <c r="G133" s="23"/>
    </row>
    <row r="134" spans="1:7">
      <c r="B134" s="345" t="s">
        <v>717</v>
      </c>
      <c r="C134" s="82" t="s">
        <v>223</v>
      </c>
      <c r="D134" s="82" t="s">
        <v>224</v>
      </c>
      <c r="E134" s="94" t="s">
        <v>225</v>
      </c>
      <c r="F134" s="19"/>
      <c r="G134" s="92"/>
    </row>
    <row r="135" spans="1:7">
      <c r="B135" s="69" t="s">
        <v>56</v>
      </c>
      <c r="C135" s="70">
        <f>E53</f>
        <v>15</v>
      </c>
      <c r="D135" s="71">
        <v>50.24</v>
      </c>
      <c r="E135" s="72">
        <f>+D135*C135</f>
        <v>753.6</v>
      </c>
      <c r="F135" s="19"/>
      <c r="G135" s="92"/>
    </row>
    <row r="136" spans="1:7">
      <c r="B136" s="69" t="s">
        <v>519</v>
      </c>
      <c r="C136" s="70">
        <f>E54</f>
        <v>48</v>
      </c>
      <c r="D136" s="71">
        <v>50.24</v>
      </c>
      <c r="E136" s="72">
        <f>+D136*C136</f>
        <v>2411.52</v>
      </c>
      <c r="F136" s="19"/>
      <c r="G136" s="92"/>
    </row>
    <row r="137" spans="1:7">
      <c r="B137" s="69" t="s">
        <v>721</v>
      </c>
      <c r="C137" s="70">
        <v>1</v>
      </c>
      <c r="D137" s="71">
        <f>D136</f>
        <v>50.24</v>
      </c>
      <c r="E137" s="72">
        <f>D137*C137</f>
        <v>50.24</v>
      </c>
      <c r="F137" s="19"/>
      <c r="G137" s="92"/>
    </row>
    <row r="138" spans="1:7">
      <c r="B138" s="73"/>
      <c r="C138" s="74"/>
      <c r="D138" s="75" t="s">
        <v>253</v>
      </c>
      <c r="E138" s="76">
        <f>SUM(E135:E137)</f>
        <v>3215.3599999999997</v>
      </c>
      <c r="F138" s="77" t="s">
        <v>229</v>
      </c>
      <c r="G138" s="92"/>
    </row>
    <row r="139" spans="1:7">
      <c r="B139" s="78"/>
      <c r="C139" s="79"/>
      <c r="D139" s="74"/>
      <c r="E139" s="74"/>
      <c r="F139" s="93"/>
      <c r="G139" s="23"/>
    </row>
    <row r="140" spans="1:7">
      <c r="B140" s="95"/>
      <c r="C140" s="79"/>
      <c r="D140" s="359" t="s">
        <v>521</v>
      </c>
      <c r="E140" s="76">
        <f>+E132+E138+E126</f>
        <v>76688.682560000001</v>
      </c>
      <c r="F140" s="77" t="s">
        <v>229</v>
      </c>
      <c r="G140" s="92"/>
    </row>
    <row r="141" spans="1:7">
      <c r="A141" s="34"/>
      <c r="B141" s="78"/>
      <c r="C141" s="79"/>
      <c r="D141" s="74"/>
      <c r="E141" s="74"/>
      <c r="F141" s="85"/>
      <c r="G141" s="23"/>
    </row>
    <row r="142" spans="1:7">
      <c r="A142" s="34"/>
      <c r="B142" s="95"/>
      <c r="C142" s="79"/>
      <c r="D142" s="84" t="s">
        <v>523</v>
      </c>
      <c r="E142" s="76">
        <f>E119+E140</f>
        <v>370230.45256000001</v>
      </c>
      <c r="F142" s="77" t="s">
        <v>229</v>
      </c>
      <c r="G142" s="92"/>
    </row>
    <row r="143" spans="1:7" ht="12" thickBot="1">
      <c r="A143" s="34"/>
      <c r="B143" s="96"/>
      <c r="C143" s="97"/>
      <c r="D143" s="98"/>
      <c r="E143" s="98"/>
      <c r="F143" s="99"/>
      <c r="G143" s="29"/>
    </row>
    <row r="144" spans="1:7">
      <c r="A144" s="34"/>
      <c r="B144" s="34"/>
      <c r="C144" s="63"/>
      <c r="D144" s="40"/>
      <c r="E144" s="40"/>
      <c r="F144" s="2"/>
    </row>
    <row r="145" spans="1:8">
      <c r="A145" s="767" t="s">
        <v>255</v>
      </c>
      <c r="B145" s="767"/>
      <c r="C145" s="767"/>
      <c r="D145" s="767"/>
      <c r="E145" s="767"/>
      <c r="F145" s="767"/>
      <c r="G145" s="767"/>
    </row>
    <row r="146" spans="1:8" ht="12" thickBot="1">
      <c r="A146" s="34"/>
      <c r="B146" s="34"/>
      <c r="C146" s="102"/>
      <c r="D146" s="102"/>
      <c r="E146" s="247"/>
      <c r="F146" s="2"/>
    </row>
    <row r="147" spans="1:8">
      <c r="A147" s="34"/>
      <c r="B147" s="343" t="s">
        <v>222</v>
      </c>
      <c r="C147" s="67" t="s">
        <v>223</v>
      </c>
      <c r="D147" s="67" t="s">
        <v>224</v>
      </c>
      <c r="E147" s="68" t="s">
        <v>225</v>
      </c>
      <c r="F147" s="13"/>
      <c r="G147" s="14"/>
    </row>
    <row r="148" spans="1:8">
      <c r="A148" s="34"/>
      <c r="B148" s="69" t="s">
        <v>56</v>
      </c>
      <c r="C148" s="70">
        <f>E56</f>
        <v>11</v>
      </c>
      <c r="D148" s="71">
        <f>D70</f>
        <v>2500</v>
      </c>
      <c r="E148" s="72">
        <f>+D148*C148</f>
        <v>27500</v>
      </c>
      <c r="F148" s="19"/>
      <c r="G148" s="23"/>
    </row>
    <row r="149" spans="1:8" ht="12" customHeight="1">
      <c r="A149" s="34"/>
      <c r="B149" s="69" t="s">
        <v>226</v>
      </c>
      <c r="C149" s="70">
        <f>E57</f>
        <v>33</v>
      </c>
      <c r="D149" s="71">
        <f>D71</f>
        <v>1533.63</v>
      </c>
      <c r="E149" s="72">
        <f>+D149*C149</f>
        <v>50609.79</v>
      </c>
      <c r="F149" s="19"/>
      <c r="G149" s="23"/>
    </row>
    <row r="150" spans="1:8" ht="12" hidden="1" customHeight="1">
      <c r="A150" s="34"/>
      <c r="B150" s="69" t="s">
        <v>227</v>
      </c>
      <c r="C150" s="70">
        <v>0</v>
      </c>
      <c r="D150" s="71">
        <f>'DADOS DE ENTRADA'!B21</f>
        <v>1342.9</v>
      </c>
      <c r="E150" s="72">
        <f>D150*C150</f>
        <v>0</v>
      </c>
      <c r="F150" s="19"/>
      <c r="G150" s="23"/>
    </row>
    <row r="151" spans="1:8" ht="12" customHeight="1">
      <c r="A151" s="34"/>
      <c r="B151" s="73"/>
      <c r="C151" s="74"/>
      <c r="D151" s="75" t="s">
        <v>228</v>
      </c>
      <c r="E151" s="76">
        <f>SUM(E148:E150)</f>
        <v>78109.790000000008</v>
      </c>
      <c r="F151" s="77" t="s">
        <v>229</v>
      </c>
      <c r="G151" s="23"/>
    </row>
    <row r="152" spans="1:8" ht="12" customHeight="1">
      <c r="A152" s="34"/>
      <c r="B152" s="78"/>
      <c r="C152" s="79"/>
      <c r="D152" s="19"/>
      <c r="E152" s="80"/>
      <c r="F152" s="80"/>
      <c r="G152" s="23"/>
    </row>
    <row r="153" spans="1:8" ht="12" customHeight="1">
      <c r="A153" s="34"/>
      <c r="B153" s="81" t="s">
        <v>230</v>
      </c>
      <c r="C153" s="82" t="s">
        <v>223</v>
      </c>
      <c r="D153" s="83" t="s">
        <v>224</v>
      </c>
      <c r="E153" s="83" t="s">
        <v>225</v>
      </c>
      <c r="F153" s="19"/>
      <c r="G153" s="23"/>
    </row>
    <row r="154" spans="1:8" ht="12" customHeight="1">
      <c r="A154" s="34"/>
      <c r="B154" s="69" t="s">
        <v>56</v>
      </c>
      <c r="C154" s="70">
        <f>E56</f>
        <v>11</v>
      </c>
      <c r="D154" s="71">
        <f>D76</f>
        <v>568</v>
      </c>
      <c r="E154" s="72">
        <f>+D154*C154</f>
        <v>6248</v>
      </c>
      <c r="F154" s="19"/>
      <c r="G154" s="23"/>
    </row>
    <row r="155" spans="1:8" ht="12" customHeight="1">
      <c r="A155" s="34"/>
      <c r="B155" s="69" t="s">
        <v>226</v>
      </c>
      <c r="C155" s="70">
        <f>E57</f>
        <v>33</v>
      </c>
      <c r="D155" s="71">
        <f>D77</f>
        <v>568</v>
      </c>
      <c r="E155" s="72">
        <f>+D155*C155</f>
        <v>18744</v>
      </c>
      <c r="F155" s="19"/>
      <c r="G155" s="23"/>
      <c r="H155" s="400">
        <f>D148+D154+D162</f>
        <v>3635.8049752127999</v>
      </c>
    </row>
    <row r="156" spans="1:8" ht="12" hidden="1" customHeight="1">
      <c r="A156" s="34"/>
      <c r="B156" s="69" t="s">
        <v>227</v>
      </c>
      <c r="C156" s="70">
        <v>0</v>
      </c>
      <c r="D156" s="71">
        <f>'DADOS DE ENTRADA'!B24*'DADOS DE ENTRADA'!B33</f>
        <v>242.4</v>
      </c>
      <c r="E156" s="72">
        <f>+D156*C156</f>
        <v>0</v>
      </c>
      <c r="F156" s="19"/>
      <c r="G156" s="23"/>
      <c r="H156" s="400">
        <f t="shared" ref="H156" si="0">D149+D155+D163</f>
        <v>2490.5856616872479</v>
      </c>
    </row>
    <row r="157" spans="1:8" ht="12" customHeight="1">
      <c r="A157" s="34"/>
      <c r="B157" s="73"/>
      <c r="C157" s="74"/>
      <c r="D157" s="248" t="s">
        <v>231</v>
      </c>
      <c r="E157" s="76">
        <f>SUM(E154:E156)</f>
        <v>24992</v>
      </c>
      <c r="F157" s="77" t="s">
        <v>229</v>
      </c>
      <c r="G157" s="173"/>
      <c r="H157" s="400">
        <f>D149+D155+D163</f>
        <v>2490.5856616872479</v>
      </c>
    </row>
    <row r="158" spans="1:8" ht="12" customHeight="1">
      <c r="A158" s="34"/>
      <c r="B158" s="78"/>
      <c r="C158" s="79"/>
      <c r="D158" s="74"/>
      <c r="E158" s="93"/>
      <c r="F158" s="93"/>
      <c r="G158" s="23"/>
    </row>
    <row r="159" spans="1:8" ht="12" customHeight="1">
      <c r="A159" s="34"/>
      <c r="B159" s="81"/>
      <c r="C159" s="768" t="s">
        <v>256</v>
      </c>
      <c r="D159" s="769"/>
      <c r="E159" s="83">
        <f>'DADOS DE ENTRADA'!B42</f>
        <v>7.8060070000000001</v>
      </c>
      <c r="F159" s="19"/>
      <c r="G159" s="23"/>
    </row>
    <row r="160" spans="1:8" ht="12" customHeight="1">
      <c r="A160" s="34"/>
      <c r="B160" s="81" t="s">
        <v>257</v>
      </c>
      <c r="C160" s="768" t="s">
        <v>258</v>
      </c>
      <c r="D160" s="769"/>
      <c r="E160" s="83">
        <f>E10</f>
        <v>26.08</v>
      </c>
      <c r="F160" s="19"/>
      <c r="G160" s="23"/>
    </row>
    <row r="161" spans="1:7" ht="12" customHeight="1">
      <c r="A161" s="34"/>
      <c r="B161" s="81"/>
      <c r="C161" s="82" t="s">
        <v>223</v>
      </c>
      <c r="D161" s="82" t="s">
        <v>224</v>
      </c>
      <c r="E161" s="94" t="s">
        <v>225</v>
      </c>
      <c r="F161" s="19"/>
      <c r="G161" s="23"/>
    </row>
    <row r="162" spans="1:7" ht="12" customHeight="1">
      <c r="A162" s="34"/>
      <c r="B162" s="69" t="s">
        <v>56</v>
      </c>
      <c r="C162" s="70">
        <f>E56</f>
        <v>11</v>
      </c>
      <c r="D162" s="71">
        <f>((D148+D154)/220)*0.2*E160*E159</f>
        <v>567.80497521279995</v>
      </c>
      <c r="E162" s="72">
        <f>+D162*C162</f>
        <v>6245.8547273407994</v>
      </c>
      <c r="F162" s="19"/>
      <c r="G162" s="23"/>
    </row>
    <row r="163" spans="1:7" ht="12" customHeight="1">
      <c r="A163" s="34"/>
      <c r="B163" s="69" t="s">
        <v>226</v>
      </c>
      <c r="C163" s="70">
        <f>E57</f>
        <v>33</v>
      </c>
      <c r="D163" s="71">
        <f>((D149+D155)/220)*0.2*E160*E159</f>
        <v>388.95566168724804</v>
      </c>
      <c r="E163" s="72">
        <f>ROUND(+D163*C163,2)</f>
        <v>12835.54</v>
      </c>
      <c r="F163" s="19"/>
      <c r="G163" s="23"/>
    </row>
    <row r="164" spans="1:7" ht="12" hidden="1" customHeight="1">
      <c r="A164" s="34"/>
      <c r="B164" s="69" t="s">
        <v>227</v>
      </c>
      <c r="C164" s="70">
        <v>0</v>
      </c>
      <c r="D164" s="71">
        <f>(('DADOS DE ENTRADA'!B21/'DADOS DE ENTRADA'!B9)*'DADOS DE ENTRADA'!B29)*E159*E160</f>
        <v>248.53497431984005</v>
      </c>
      <c r="E164" s="72">
        <f>ROUND(+D164*C164,2)</f>
        <v>0</v>
      </c>
      <c r="F164" s="19"/>
      <c r="G164" s="23"/>
    </row>
    <row r="165" spans="1:7" ht="12" customHeight="1">
      <c r="A165" s="34"/>
      <c r="B165" s="73"/>
      <c r="C165" s="74"/>
      <c r="D165" s="248" t="s">
        <v>235</v>
      </c>
      <c r="E165" s="231">
        <f>SUM(E162:E164)</f>
        <v>19081.394727340801</v>
      </c>
      <c r="F165" s="77" t="s">
        <v>229</v>
      </c>
      <c r="G165" s="23"/>
    </row>
    <row r="166" spans="1:7" ht="12" hidden="1" customHeight="1">
      <c r="A166" s="34"/>
      <c r="B166" s="78"/>
      <c r="C166" s="79"/>
      <c r="D166" s="74"/>
      <c r="E166" s="80"/>
      <c r="F166" s="80"/>
      <c r="G166" s="23"/>
    </row>
    <row r="167" spans="1:7" ht="12" hidden="1" customHeight="1">
      <c r="A167" s="34"/>
      <c r="B167" s="81" t="s">
        <v>259</v>
      </c>
      <c r="C167" s="768" t="s">
        <v>233</v>
      </c>
      <c r="D167" s="769"/>
      <c r="E167" s="83"/>
      <c r="F167" s="245"/>
      <c r="G167" s="249"/>
    </row>
    <row r="168" spans="1:7" ht="12" hidden="1" customHeight="1">
      <c r="A168" s="34"/>
      <c r="B168" s="81"/>
      <c r="C168" s="768" t="s">
        <v>234</v>
      </c>
      <c r="D168" s="769"/>
      <c r="E168" s="83"/>
      <c r="F168" s="245"/>
      <c r="G168" s="249"/>
    </row>
    <row r="169" spans="1:7" ht="12" hidden="1" customHeight="1">
      <c r="A169" s="34"/>
      <c r="B169" s="246"/>
      <c r="C169" s="82" t="s">
        <v>223</v>
      </c>
      <c r="D169" s="83" t="s">
        <v>224</v>
      </c>
      <c r="E169" s="83" t="s">
        <v>225</v>
      </c>
      <c r="F169" s="19"/>
      <c r="G169" s="249"/>
    </row>
    <row r="170" spans="1:7" ht="12" hidden="1" customHeight="1">
      <c r="A170" s="34"/>
      <c r="B170" s="69" t="s">
        <v>56</v>
      </c>
      <c r="C170" s="70">
        <f>E56</f>
        <v>11</v>
      </c>
      <c r="D170" s="71">
        <f>(('DADOS DE ENTRADA'!B23+D154+D162)/'DADOS DE ENTRADA'!B9)*'DADOS DE ENTRADA'!B30*E167</f>
        <v>0</v>
      </c>
      <c r="E170" s="72">
        <f>ROUND(+D170*C170,2)</f>
        <v>0</v>
      </c>
      <c r="F170" s="19"/>
      <c r="G170" s="249"/>
    </row>
    <row r="171" spans="1:7" ht="12" hidden="1" customHeight="1">
      <c r="A171" s="34"/>
      <c r="B171" s="69" t="s">
        <v>226</v>
      </c>
      <c r="C171" s="70">
        <f>E57</f>
        <v>33</v>
      </c>
      <c r="D171" s="71">
        <f>(('DADOS DE ENTRADA'!B14+D155+D163)/'DADOS DE ENTRADA'!B9)*'DADOS DE ENTRADA'!B30*E168</f>
        <v>0</v>
      </c>
      <c r="E171" s="72">
        <f>+D171*C171</f>
        <v>0</v>
      </c>
      <c r="F171" s="19"/>
      <c r="G171" s="249"/>
    </row>
    <row r="172" spans="1:7" ht="12" hidden="1" customHeight="1">
      <c r="A172" s="34"/>
      <c r="B172" s="69" t="s">
        <v>227</v>
      </c>
      <c r="C172" s="70">
        <v>0</v>
      </c>
      <c r="D172" s="71">
        <f>(('DADOS DE ENTRADA'!B21+D156+D164)/'DADOS DE ENTRADA'!B9)*'DADOS DE ENTRADA'!B30*E168</f>
        <v>0</v>
      </c>
      <c r="E172" s="72">
        <f>+D172*C172</f>
        <v>0</v>
      </c>
      <c r="F172" s="19"/>
      <c r="G172" s="249"/>
    </row>
    <row r="173" spans="1:7" ht="12" hidden="1" customHeight="1">
      <c r="A173" s="34"/>
      <c r="B173" s="73"/>
      <c r="C173" s="74"/>
      <c r="D173" s="248" t="s">
        <v>260</v>
      </c>
      <c r="E173" s="231">
        <f>ROUND(SUM(E170:E172),2)</f>
        <v>0</v>
      </c>
      <c r="F173" s="77" t="s">
        <v>229</v>
      </c>
      <c r="G173" s="23"/>
    </row>
    <row r="174" spans="1:7" ht="12" hidden="1" customHeight="1">
      <c r="A174" s="34"/>
      <c r="B174" s="78"/>
      <c r="C174" s="84"/>
      <c r="D174" s="74"/>
      <c r="E174" s="80"/>
      <c r="F174" s="85"/>
      <c r="G174" s="23"/>
    </row>
    <row r="175" spans="1:7" ht="12" hidden="1" customHeight="1">
      <c r="A175" s="34"/>
      <c r="B175" s="81" t="s">
        <v>261</v>
      </c>
      <c r="C175" s="768" t="s">
        <v>233</v>
      </c>
      <c r="D175" s="769"/>
      <c r="E175" s="83">
        <f>1.08*7.83</f>
        <v>8.4564000000000004</v>
      </c>
      <c r="F175" s="245"/>
      <c r="G175" s="23"/>
    </row>
    <row r="176" spans="1:7" ht="12" hidden="1" customHeight="1">
      <c r="A176" s="34"/>
      <c r="B176" s="246" t="s">
        <v>238</v>
      </c>
      <c r="C176" s="768" t="s">
        <v>234</v>
      </c>
      <c r="D176" s="769"/>
      <c r="E176" s="83">
        <f>1.08*7.33</f>
        <v>7.9164000000000003</v>
      </c>
      <c r="F176" s="245"/>
      <c r="G176" s="23"/>
    </row>
    <row r="177" spans="1:7" ht="12" hidden="1" customHeight="1">
      <c r="A177" s="34"/>
      <c r="B177" s="246"/>
      <c r="C177" s="82" t="s">
        <v>223</v>
      </c>
      <c r="D177" s="83" t="s">
        <v>224</v>
      </c>
      <c r="E177" s="83" t="s">
        <v>225</v>
      </c>
      <c r="F177" s="19"/>
      <c r="G177" s="23"/>
    </row>
    <row r="178" spans="1:7" ht="12" hidden="1" customHeight="1">
      <c r="A178" s="34"/>
      <c r="B178" s="69" t="s">
        <v>56</v>
      </c>
      <c r="C178" s="70">
        <v>0</v>
      </c>
      <c r="D178" s="71">
        <f>(('DADOS DE ENTRADA'!B23+D154+D162)/'DADOS DE ENTRADA'!B9)*'DADOS DE ENTRADA'!B31*E175</f>
        <v>280.20704029445022</v>
      </c>
      <c r="E178" s="72">
        <f>ROUND(+D178*C178,2)</f>
        <v>0</v>
      </c>
      <c r="F178" s="19"/>
      <c r="G178" s="23"/>
    </row>
    <row r="179" spans="1:7" ht="12" hidden="1" customHeight="1">
      <c r="A179" s="34"/>
      <c r="B179" s="69" t="s">
        <v>226</v>
      </c>
      <c r="C179" s="70">
        <v>0</v>
      </c>
      <c r="D179" s="71">
        <f>(('DADOS DE ENTRADA'!B14+D155+D163)/'DADOS DE ENTRADA'!B9)*'DADOS DE ENTRADA'!B31*E176</f>
        <v>156.7861488016448</v>
      </c>
      <c r="E179" s="72">
        <f>+D179*C179</f>
        <v>0</v>
      </c>
      <c r="F179" s="19"/>
      <c r="G179" s="23"/>
    </row>
    <row r="180" spans="1:7" ht="12" hidden="1" customHeight="1">
      <c r="A180" s="34"/>
      <c r="B180" s="69" t="s">
        <v>227</v>
      </c>
      <c r="C180" s="70">
        <v>0</v>
      </c>
      <c r="D180" s="71">
        <f>(('DADOS DE ENTRADA'!B21+D156+D164)/'DADOS DE ENTRADA'!B9)*'DADOS DE ENTRADA'!B31*E176</f>
        <v>131.97610173368713</v>
      </c>
      <c r="E180" s="72">
        <f>+D180*C180</f>
        <v>0</v>
      </c>
      <c r="F180" s="19"/>
      <c r="G180" s="23"/>
    </row>
    <row r="181" spans="1:7" ht="12" hidden="1" customHeight="1">
      <c r="A181" s="34"/>
      <c r="B181" s="73"/>
      <c r="C181" s="74"/>
      <c r="D181" s="248" t="s">
        <v>245</v>
      </c>
      <c r="E181" s="231">
        <f>ROUND(SUM(E178:E180),2)</f>
        <v>0</v>
      </c>
      <c r="F181" s="77" t="s">
        <v>229</v>
      </c>
      <c r="G181" s="23"/>
    </row>
    <row r="182" spans="1:7" ht="12" hidden="1" customHeight="1">
      <c r="A182" s="34"/>
      <c r="B182" s="78"/>
      <c r="C182" s="84"/>
      <c r="D182" s="74"/>
      <c r="E182" s="80"/>
      <c r="F182" s="85"/>
      <c r="G182" s="23"/>
    </row>
    <row r="183" spans="1:7" ht="12" hidden="1" customHeight="1">
      <c r="A183" s="34"/>
      <c r="B183" s="81" t="s">
        <v>262</v>
      </c>
      <c r="C183" s="768" t="s">
        <v>233</v>
      </c>
      <c r="D183" s="769"/>
      <c r="E183" s="83">
        <f>4.33*7.83</f>
        <v>33.9039</v>
      </c>
      <c r="F183" s="245"/>
      <c r="G183" s="23"/>
    </row>
    <row r="184" spans="1:7" ht="12" hidden="1" customHeight="1">
      <c r="A184" s="34"/>
      <c r="B184" s="81"/>
      <c r="C184" s="768" t="s">
        <v>234</v>
      </c>
      <c r="D184" s="769"/>
      <c r="E184" s="83">
        <f>4.33*7.33</f>
        <v>31.738900000000001</v>
      </c>
      <c r="F184" s="245"/>
      <c r="G184" s="23"/>
    </row>
    <row r="185" spans="1:7" ht="12" hidden="1" customHeight="1">
      <c r="A185" s="34"/>
      <c r="B185" s="246" t="s">
        <v>241</v>
      </c>
      <c r="C185" s="82" t="s">
        <v>223</v>
      </c>
      <c r="D185" s="83" t="s">
        <v>224</v>
      </c>
      <c r="E185" s="83" t="s">
        <v>225</v>
      </c>
      <c r="F185" s="19"/>
      <c r="G185" s="23"/>
    </row>
    <row r="186" spans="1:7" ht="12" hidden="1" customHeight="1">
      <c r="A186" s="34"/>
      <c r="B186" s="69" t="s">
        <v>56</v>
      </c>
      <c r="C186" s="70">
        <v>0</v>
      </c>
      <c r="D186" s="71">
        <f>(('DADOS DE ENTRADA'!B23+D154+D162)/'DADOS DE ENTRADA'!B9)*'DADOS DE ENTRADA'!B31*E183</f>
        <v>1123.4226708101567</v>
      </c>
      <c r="E186" s="72">
        <f>ROUND(+D186*C186,2)</f>
        <v>0</v>
      </c>
      <c r="F186" s="19"/>
      <c r="G186" s="23"/>
    </row>
    <row r="187" spans="1:7" ht="12" hidden="1" customHeight="1">
      <c r="A187" s="34"/>
      <c r="B187" s="69" t="s">
        <v>226</v>
      </c>
      <c r="C187" s="70">
        <v>0</v>
      </c>
      <c r="D187" s="71">
        <f>(('DADOS DE ENTRADA'!B14+D155+D163)/'DADOS DE ENTRADA'!B9)*'DADOS DE ENTRADA'!B31*E184</f>
        <v>628.59631880659447</v>
      </c>
      <c r="E187" s="72">
        <f>+D187*C187</f>
        <v>0</v>
      </c>
      <c r="F187" s="19"/>
      <c r="G187" s="23"/>
    </row>
    <row r="188" spans="1:7" ht="12" hidden="1" customHeight="1">
      <c r="A188" s="34"/>
      <c r="B188" s="69" t="s">
        <v>227</v>
      </c>
      <c r="C188" s="70">
        <v>0</v>
      </c>
      <c r="D188" s="71">
        <f>(('DADOS DE ENTRADA'!B21+D156+D164)/'DADOS DE ENTRADA'!B9)*'DADOS DE ENTRADA'!B31*E184</f>
        <v>529.12640787672717</v>
      </c>
      <c r="E188" s="72">
        <f>+D188*C188</f>
        <v>0</v>
      </c>
      <c r="F188" s="19"/>
      <c r="G188" s="23"/>
    </row>
    <row r="189" spans="1:7" ht="12" hidden="1" customHeight="1">
      <c r="A189" s="34"/>
      <c r="B189" s="73"/>
      <c r="C189" s="74"/>
      <c r="D189" s="248" t="s">
        <v>263</v>
      </c>
      <c r="E189" s="231">
        <f>ROUND(SUM(E186:E188),2)</f>
        <v>0</v>
      </c>
      <c r="F189" s="77" t="s">
        <v>229</v>
      </c>
      <c r="G189" s="23"/>
    </row>
    <row r="190" spans="1:7" ht="12" hidden="1" customHeight="1">
      <c r="A190" s="34"/>
      <c r="B190" s="78"/>
      <c r="C190" s="84"/>
      <c r="D190" s="74"/>
      <c r="E190" s="80"/>
      <c r="F190" s="85"/>
      <c r="G190" s="23"/>
    </row>
    <row r="191" spans="1:7" ht="12" hidden="1" customHeight="1">
      <c r="A191" s="34"/>
      <c r="B191" s="81" t="s">
        <v>264</v>
      </c>
      <c r="C191" s="768" t="s">
        <v>244</v>
      </c>
      <c r="D191" s="769"/>
      <c r="E191" s="83">
        <f>1.08+4.33</f>
        <v>5.41</v>
      </c>
      <c r="F191" s="85"/>
      <c r="G191" s="23"/>
    </row>
    <row r="192" spans="1:7" ht="12" hidden="1" customHeight="1">
      <c r="A192" s="34"/>
      <c r="B192" s="81"/>
      <c r="C192" s="768" t="s">
        <v>5</v>
      </c>
      <c r="D192" s="769"/>
      <c r="E192" s="83">
        <f>'DADOS DE ENTRADA'!B5</f>
        <v>26.09</v>
      </c>
      <c r="F192" s="85"/>
      <c r="G192" s="23"/>
    </row>
    <row r="193" spans="1:7" ht="12" hidden="1" customHeight="1">
      <c r="A193" s="34"/>
      <c r="B193" s="81"/>
      <c r="C193" s="82" t="s">
        <v>223</v>
      </c>
      <c r="D193" s="83" t="s">
        <v>224</v>
      </c>
      <c r="E193" s="83" t="s">
        <v>225</v>
      </c>
      <c r="F193" s="85"/>
      <c r="G193" s="23"/>
    </row>
    <row r="194" spans="1:7" ht="12" hidden="1" customHeight="1">
      <c r="A194" s="34"/>
      <c r="B194" s="69" t="s">
        <v>56</v>
      </c>
      <c r="C194" s="70">
        <v>0</v>
      </c>
      <c r="D194" s="71">
        <f>((D170+D178+D186)/$E$192)*$E$191</f>
        <v>291.05545178520214</v>
      </c>
      <c r="E194" s="72">
        <f>ROUND(+D194*C194,2)</f>
        <v>0</v>
      </c>
      <c r="F194" s="85"/>
      <c r="G194" s="23"/>
    </row>
    <row r="195" spans="1:7" ht="12" hidden="1" customHeight="1">
      <c r="A195" s="34"/>
      <c r="B195" s="69" t="s">
        <v>226</v>
      </c>
      <c r="C195" s="70">
        <v>0</v>
      </c>
      <c r="D195" s="71">
        <f>((D171+D179+D187)/$E$192)*$E$191</f>
        <v>162.85623418016769</v>
      </c>
      <c r="E195" s="72">
        <f>+D195*C195</f>
        <v>0</v>
      </c>
      <c r="F195" s="85"/>
      <c r="G195" s="23"/>
    </row>
    <row r="196" spans="1:7" ht="12" hidden="1" customHeight="1">
      <c r="A196" s="34"/>
      <c r="B196" s="69" t="s">
        <v>227</v>
      </c>
      <c r="C196" s="70">
        <v>0</v>
      </c>
      <c r="D196" s="71">
        <f>((D172+D180+D188)/$E$192)*$E$191</f>
        <v>137.08564879234731</v>
      </c>
      <c r="E196" s="72">
        <f>D196*C196</f>
        <v>0</v>
      </c>
      <c r="F196" s="85"/>
      <c r="G196" s="23"/>
    </row>
    <row r="197" spans="1:7" ht="12" hidden="1" customHeight="1">
      <c r="A197" s="34"/>
      <c r="B197" s="73"/>
      <c r="C197" s="74"/>
      <c r="D197" s="75" t="s">
        <v>249</v>
      </c>
      <c r="E197" s="76">
        <f>ROUND(SUM(E194:E196),2)</f>
        <v>0</v>
      </c>
      <c r="F197" s="85"/>
      <c r="G197" s="23"/>
    </row>
    <row r="198" spans="1:7" ht="12" customHeight="1">
      <c r="A198" s="34"/>
      <c r="B198" s="78"/>
      <c r="C198" s="84"/>
      <c r="D198" s="74"/>
      <c r="E198" s="80"/>
      <c r="F198" s="85"/>
      <c r="G198" s="23"/>
    </row>
    <row r="199" spans="1:7" ht="12" customHeight="1">
      <c r="A199" s="34"/>
      <c r="B199" s="86"/>
      <c r="C199" s="19"/>
      <c r="D199" s="344" t="s">
        <v>720</v>
      </c>
      <c r="E199" s="76">
        <f>ROUND(+E165+E157+E151+E173+E181+E189+E197,2)</f>
        <v>122183.18</v>
      </c>
      <c r="F199" s="77" t="s">
        <v>229</v>
      </c>
      <c r="G199" s="173"/>
    </row>
    <row r="200" spans="1:7" ht="12" customHeight="1">
      <c r="A200" s="34"/>
      <c r="B200" s="78"/>
      <c r="C200" s="19"/>
      <c r="D200" s="19"/>
      <c r="E200" s="80"/>
      <c r="F200" s="80"/>
      <c r="G200" s="23"/>
    </row>
    <row r="201" spans="1:7" ht="12" customHeight="1">
      <c r="A201" s="34"/>
      <c r="B201" s="345" t="s">
        <v>265</v>
      </c>
      <c r="C201" s="82" t="s">
        <v>223</v>
      </c>
      <c r="D201" s="83" t="s">
        <v>224</v>
      </c>
      <c r="E201" s="83" t="s">
        <v>225</v>
      </c>
      <c r="F201" s="19"/>
      <c r="G201" s="23"/>
    </row>
    <row r="202" spans="1:7" ht="12" customHeight="1">
      <c r="A202" s="34"/>
      <c r="B202" s="346" t="s">
        <v>248</v>
      </c>
      <c r="C202" s="88">
        <v>0.95</v>
      </c>
      <c r="D202" s="89">
        <f>+E199*C202</f>
        <v>116074.02099999999</v>
      </c>
      <c r="E202" s="72">
        <f>ROUND(+D202,2)</f>
        <v>116074.02</v>
      </c>
      <c r="F202" s="19"/>
      <c r="G202" s="23"/>
    </row>
    <row r="203" spans="1:7" ht="12" customHeight="1">
      <c r="A203" s="34"/>
      <c r="B203" s="73"/>
      <c r="C203" s="79"/>
      <c r="D203" s="75" t="s">
        <v>251</v>
      </c>
      <c r="E203" s="76">
        <f>ROUND(SUM(E202),2)</f>
        <v>116074.02</v>
      </c>
      <c r="F203" s="77" t="s">
        <v>229</v>
      </c>
      <c r="G203" s="23"/>
    </row>
    <row r="204" spans="1:7" ht="12" customHeight="1">
      <c r="A204" s="34"/>
      <c r="B204" s="78"/>
      <c r="C204" s="19"/>
      <c r="D204" s="19"/>
      <c r="E204" s="80"/>
      <c r="F204" s="80"/>
      <c r="G204" s="23"/>
    </row>
    <row r="205" spans="1:7" ht="12" customHeight="1">
      <c r="A205" s="34"/>
      <c r="B205" s="86"/>
      <c r="C205" s="19"/>
      <c r="D205" s="344" t="s">
        <v>266</v>
      </c>
      <c r="E205" s="76">
        <f>ROUND(+E203+E199,2)</f>
        <v>238257.2</v>
      </c>
      <c r="F205" s="77" t="s">
        <v>229</v>
      </c>
      <c r="G205" s="23"/>
    </row>
    <row r="206" spans="1:7" ht="12" customHeight="1">
      <c r="A206" s="34"/>
      <c r="B206" s="86"/>
      <c r="C206" s="19"/>
      <c r="D206" s="19"/>
      <c r="E206" s="85"/>
      <c r="F206" s="19"/>
      <c r="G206" s="23"/>
    </row>
    <row r="207" spans="1:7" ht="12" customHeight="1">
      <c r="A207" s="34"/>
      <c r="B207" s="345" t="s">
        <v>549</v>
      </c>
      <c r="C207" s="768"/>
      <c r="D207" s="769"/>
      <c r="E207" s="83"/>
      <c r="F207" s="19"/>
      <c r="G207" s="23"/>
    </row>
    <row r="208" spans="1:7" ht="12" customHeight="1">
      <c r="A208" s="34"/>
      <c r="B208" s="86"/>
      <c r="C208" s="82" t="s">
        <v>223</v>
      </c>
      <c r="D208" s="83" t="s">
        <v>224</v>
      </c>
      <c r="E208" s="83" t="s">
        <v>225</v>
      </c>
      <c r="F208" s="19"/>
      <c r="G208" s="23"/>
    </row>
    <row r="209" spans="1:7" ht="12" customHeight="1">
      <c r="A209" s="34"/>
      <c r="B209" s="69" t="s">
        <v>56</v>
      </c>
      <c r="C209" s="70">
        <f>C162</f>
        <v>11</v>
      </c>
      <c r="D209" s="71">
        <f>4.1*52-0.006*H155</f>
        <v>191.38517014872318</v>
      </c>
      <c r="E209" s="72">
        <f>+D209*C209</f>
        <v>2105.2368716359551</v>
      </c>
      <c r="F209" s="19"/>
      <c r="G209" s="23"/>
    </row>
    <row r="210" spans="1:7" ht="12" customHeight="1">
      <c r="A210" s="34"/>
      <c r="B210" s="69" t="s">
        <v>519</v>
      </c>
      <c r="C210" s="70">
        <f>C163</f>
        <v>33</v>
      </c>
      <c r="D210" s="71">
        <f>4.1*52-0.006*H157</f>
        <v>198.2564860298765</v>
      </c>
      <c r="E210" s="72">
        <f>+D210*C210</f>
        <v>6542.4640389859242</v>
      </c>
      <c r="F210" s="19"/>
      <c r="G210" s="23"/>
    </row>
    <row r="211" spans="1:7" ht="12" hidden="1" customHeight="1">
      <c r="A211" s="34"/>
      <c r="B211" s="69" t="s">
        <v>227</v>
      </c>
      <c r="C211" s="70">
        <v>0</v>
      </c>
      <c r="D211" s="71">
        <f>IF((('DADOS DE ENTRADA'!B91*'DADOS DE ENTRADA'!B122*E207)-(6%*'DADOS DE ENTRADA'!B107))&lt;0,0,('DADOS DE ENTRADA'!B91*'DADOS DE ENTRADA'!B122*E207)-(6%*'DADOS DE ENTRADA'!B107))</f>
        <v>0</v>
      </c>
      <c r="E211" s="72">
        <f>D211*C211</f>
        <v>0</v>
      </c>
      <c r="F211" s="19"/>
      <c r="G211" s="23"/>
    </row>
    <row r="212" spans="1:7" ht="12" customHeight="1">
      <c r="A212" s="34"/>
      <c r="B212" s="73"/>
      <c r="C212" s="74"/>
      <c r="D212" s="75" t="s">
        <v>251</v>
      </c>
      <c r="E212" s="76">
        <f>SUM(E209:E211)</f>
        <v>8647.7009106218793</v>
      </c>
      <c r="F212" s="77" t="s">
        <v>229</v>
      </c>
      <c r="G212" s="23"/>
    </row>
    <row r="213" spans="1:7" ht="12" customHeight="1">
      <c r="A213" s="34"/>
      <c r="B213" s="78"/>
      <c r="C213" s="79"/>
      <c r="D213" s="74"/>
      <c r="E213" s="74"/>
      <c r="F213" s="93"/>
      <c r="G213" s="23"/>
    </row>
    <row r="214" spans="1:7" ht="12" customHeight="1">
      <c r="A214" s="34"/>
      <c r="B214" s="345" t="s">
        <v>267</v>
      </c>
      <c r="C214" s="82" t="s">
        <v>223</v>
      </c>
      <c r="D214" s="82" t="s">
        <v>224</v>
      </c>
      <c r="E214" s="94" t="s">
        <v>225</v>
      </c>
      <c r="F214" s="19"/>
      <c r="G214" s="23"/>
    </row>
    <row r="215" spans="1:7" ht="12" customHeight="1">
      <c r="A215" s="34"/>
      <c r="B215" s="69" t="s">
        <v>56</v>
      </c>
      <c r="C215" s="70">
        <f>E56</f>
        <v>11</v>
      </c>
      <c r="D215" s="71">
        <f>D129</f>
        <v>904.68</v>
      </c>
      <c r="E215" s="72">
        <f>ROUND(+D215*C215,2)</f>
        <v>9951.48</v>
      </c>
      <c r="F215" s="19"/>
      <c r="G215" s="23"/>
    </row>
    <row r="216" spans="1:7" ht="12" customHeight="1">
      <c r="A216" s="34"/>
      <c r="B216" s="69" t="s">
        <v>226</v>
      </c>
      <c r="C216" s="70">
        <f>E57</f>
        <v>33</v>
      </c>
      <c r="D216" s="71">
        <f>D130</f>
        <v>904.68</v>
      </c>
      <c r="E216" s="72">
        <f>ROUND(+D216*C216,2)</f>
        <v>29854.44</v>
      </c>
      <c r="F216" s="19"/>
      <c r="G216" s="23"/>
    </row>
    <row r="217" spans="1:7" ht="12" hidden="1" customHeight="1">
      <c r="A217" s="34"/>
      <c r="B217" s="69" t="s">
        <v>227</v>
      </c>
      <c r="C217" s="70">
        <v>0</v>
      </c>
      <c r="D217" s="71">
        <f>'DADOS DE ENTRADA'!B28</f>
        <v>275</v>
      </c>
      <c r="E217" s="72">
        <f>ROUND(+D217*C217,2)</f>
        <v>0</v>
      </c>
      <c r="F217" s="19"/>
      <c r="G217" s="23"/>
    </row>
    <row r="218" spans="1:7" ht="12" customHeight="1">
      <c r="A218" s="34"/>
      <c r="B218" s="73"/>
      <c r="C218" s="74"/>
      <c r="D218" s="248" t="s">
        <v>253</v>
      </c>
      <c r="E218" s="231">
        <f>SUM(E215:E217)</f>
        <v>39805.919999999998</v>
      </c>
      <c r="F218" s="77" t="s">
        <v>229</v>
      </c>
      <c r="G218" s="23"/>
    </row>
    <row r="219" spans="1:7" ht="12" customHeight="1">
      <c r="A219" s="34"/>
      <c r="B219" s="78"/>
      <c r="C219" s="79"/>
      <c r="D219" s="74"/>
      <c r="E219" s="74"/>
      <c r="F219" s="93"/>
      <c r="G219" s="23"/>
    </row>
    <row r="220" spans="1:7" ht="12" customHeight="1">
      <c r="A220" s="34"/>
      <c r="B220" s="345" t="s">
        <v>546</v>
      </c>
      <c r="C220" s="82" t="s">
        <v>223</v>
      </c>
      <c r="D220" s="82" t="s">
        <v>224</v>
      </c>
      <c r="E220" s="94" t="s">
        <v>225</v>
      </c>
      <c r="F220" s="19"/>
      <c r="G220" s="23"/>
    </row>
    <row r="221" spans="1:7" ht="12" customHeight="1">
      <c r="A221" s="34"/>
      <c r="B221" s="69" t="s">
        <v>56</v>
      </c>
      <c r="C221" s="70">
        <f>C215</f>
        <v>11</v>
      </c>
      <c r="D221" s="71">
        <f>D135</f>
        <v>50.24</v>
      </c>
      <c r="E221" s="72">
        <f>+D221*C221</f>
        <v>552.64</v>
      </c>
      <c r="F221" s="19"/>
      <c r="G221" s="23"/>
    </row>
    <row r="222" spans="1:7" ht="12" customHeight="1">
      <c r="A222" s="34"/>
      <c r="B222" s="69" t="s">
        <v>519</v>
      </c>
      <c r="C222" s="70">
        <f>C216</f>
        <v>33</v>
      </c>
      <c r="D222" s="71">
        <f>D221</f>
        <v>50.24</v>
      </c>
      <c r="E222" s="72">
        <f>+D222*C222</f>
        <v>1657.92</v>
      </c>
      <c r="F222" s="19"/>
      <c r="G222" s="23"/>
    </row>
    <row r="223" spans="1:7" ht="12" hidden="1" customHeight="1">
      <c r="A223" s="34"/>
      <c r="B223" s="69" t="s">
        <v>227</v>
      </c>
      <c r="C223" s="70">
        <v>0</v>
      </c>
      <c r="D223" s="71">
        <f>'DADOS DE ENTRADA'!B118</f>
        <v>0</v>
      </c>
      <c r="E223" s="72">
        <f>D223*C223</f>
        <v>0</v>
      </c>
      <c r="F223" s="19"/>
      <c r="G223" s="23"/>
    </row>
    <row r="224" spans="1:7" ht="12" customHeight="1">
      <c r="A224" s="34"/>
      <c r="B224" s="73"/>
      <c r="C224" s="74"/>
      <c r="D224" s="75" t="s">
        <v>253</v>
      </c>
      <c r="E224" s="76">
        <f>SUM(E221:E223)</f>
        <v>2210.56</v>
      </c>
      <c r="F224" s="77" t="s">
        <v>229</v>
      </c>
      <c r="G224" s="23"/>
    </row>
    <row r="225" spans="1:7" ht="12" customHeight="1">
      <c r="A225" s="34"/>
      <c r="B225" s="78"/>
      <c r="C225" s="79"/>
      <c r="D225" s="74"/>
      <c r="E225" s="74"/>
      <c r="F225" s="93"/>
      <c r="G225" s="23"/>
    </row>
    <row r="226" spans="1:7" ht="12" customHeight="1">
      <c r="A226" s="34"/>
      <c r="B226" s="95"/>
      <c r="C226" s="79"/>
      <c r="D226" s="84" t="s">
        <v>268</v>
      </c>
      <c r="E226" s="76">
        <f>+E218+E224+E212</f>
        <v>50664.180910621872</v>
      </c>
      <c r="F226" s="77" t="s">
        <v>229</v>
      </c>
      <c r="G226" s="23"/>
    </row>
    <row r="227" spans="1:7" ht="12" customHeight="1">
      <c r="A227" s="34"/>
      <c r="B227" s="78"/>
      <c r="C227" s="79"/>
      <c r="D227" s="74"/>
      <c r="E227" s="74"/>
      <c r="F227" s="85"/>
      <c r="G227" s="23"/>
    </row>
    <row r="228" spans="1:7" ht="12" customHeight="1">
      <c r="A228" s="34"/>
      <c r="B228" s="95"/>
      <c r="C228" s="79"/>
      <c r="D228" s="84" t="s">
        <v>269</v>
      </c>
      <c r="E228" s="76">
        <f>E205+E226</f>
        <v>288921.3809106219</v>
      </c>
      <c r="F228" s="77" t="s">
        <v>229</v>
      </c>
      <c r="G228" s="23"/>
    </row>
    <row r="229" spans="1:7" ht="12" customHeight="1" thickBot="1">
      <c r="A229" s="34"/>
      <c r="B229" s="96"/>
      <c r="C229" s="97"/>
      <c r="D229" s="98"/>
      <c r="E229" s="98"/>
      <c r="F229" s="99"/>
      <c r="G229" s="29"/>
    </row>
    <row r="230" spans="1:7" ht="12" customHeight="1" thickBot="1">
      <c r="A230" s="34"/>
      <c r="B230" s="385"/>
      <c r="C230" s="386"/>
      <c r="D230" s="387"/>
      <c r="E230" s="387"/>
      <c r="F230" s="388"/>
      <c r="G230" s="14"/>
    </row>
    <row r="231" spans="1:7" ht="12" customHeight="1">
      <c r="B231" s="86"/>
      <c r="C231" s="128"/>
      <c r="D231" s="129"/>
      <c r="E231" s="129"/>
      <c r="F231" s="130"/>
      <c r="G231" s="23"/>
    </row>
    <row r="232" spans="1:7" ht="12" customHeight="1">
      <c r="B232" s="86"/>
      <c r="C232" s="347" t="s">
        <v>270</v>
      </c>
      <c r="D232" s="132"/>
      <c r="E232" s="76">
        <f>E142+E228</f>
        <v>659151.83347062184</v>
      </c>
      <c r="F232" s="133" t="s">
        <v>229</v>
      </c>
      <c r="G232" s="92"/>
    </row>
    <row r="233" spans="1:7" ht="12" customHeight="1">
      <c r="B233" s="86"/>
      <c r="C233" s="134" t="s">
        <v>271</v>
      </c>
      <c r="D233" s="132"/>
      <c r="E233" s="132"/>
      <c r="F233" s="135"/>
      <c r="G233" s="23"/>
    </row>
    <row r="234" spans="1:7" ht="12" customHeight="1">
      <c r="B234" s="86"/>
      <c r="C234" s="347" t="s">
        <v>272</v>
      </c>
      <c r="D234" s="132"/>
      <c r="E234" s="76">
        <f>+E232*E9</f>
        <v>7909822.0016474621</v>
      </c>
      <c r="F234" s="133" t="s">
        <v>229</v>
      </c>
      <c r="G234" s="23"/>
    </row>
    <row r="235" spans="1:7" ht="12" customHeight="1" thickBot="1">
      <c r="B235" s="86"/>
      <c r="C235" s="136" t="s">
        <v>271</v>
      </c>
      <c r="D235" s="137"/>
      <c r="E235" s="137"/>
      <c r="F235" s="138"/>
      <c r="G235" s="92"/>
    </row>
    <row r="236" spans="1:7" ht="12" customHeight="1" thickBot="1">
      <c r="B236" s="139"/>
      <c r="C236" s="48"/>
      <c r="D236" s="48"/>
      <c r="E236" s="48"/>
      <c r="F236" s="99"/>
      <c r="G236" s="215"/>
    </row>
    <row r="237" spans="1:7">
      <c r="B237" s="3"/>
      <c r="F237" s="100"/>
    </row>
    <row r="238" spans="1:7" ht="13.8">
      <c r="A238" s="757" t="s">
        <v>273</v>
      </c>
      <c r="B238" s="758"/>
      <c r="C238" s="758"/>
      <c r="D238" s="758"/>
      <c r="E238" s="758"/>
      <c r="F238" s="758"/>
      <c r="G238" s="758"/>
    </row>
    <row r="239" spans="1:7" ht="11.25" customHeight="1" thickBot="1">
      <c r="B239" s="3"/>
      <c r="F239" s="100"/>
    </row>
    <row r="240" spans="1:7">
      <c r="B240" s="66" t="s">
        <v>274</v>
      </c>
      <c r="C240" s="13"/>
      <c r="D240" s="101"/>
      <c r="E240" s="101"/>
      <c r="F240" s="101"/>
      <c r="G240" s="14"/>
    </row>
    <row r="241" spans="2:7">
      <c r="B241" s="87"/>
      <c r="C241" s="764" t="s">
        <v>491</v>
      </c>
      <c r="D241" s="770"/>
      <c r="E241" s="770"/>
      <c r="F241" s="765"/>
      <c r="G241" s="23"/>
    </row>
    <row r="242" spans="2:7">
      <c r="B242" s="78"/>
      <c r="C242" s="103" t="s">
        <v>275</v>
      </c>
      <c r="D242" s="104" t="s">
        <v>276</v>
      </c>
      <c r="E242" s="104" t="s">
        <v>224</v>
      </c>
      <c r="F242" s="104" t="s">
        <v>277</v>
      </c>
      <c r="G242" s="105"/>
    </row>
    <row r="243" spans="2:7" ht="13.5" customHeight="1">
      <c r="B243" s="78"/>
      <c r="C243" s="250" t="str">
        <f>'DADOS DE ENTRADA'!$D$26</f>
        <v>Calça comprida de brim</v>
      </c>
      <c r="D243" s="108">
        <v>2</v>
      </c>
      <c r="E243" s="250">
        <v>53</v>
      </c>
      <c r="F243" s="251">
        <f>(D243*E243)/12</f>
        <v>8.8333333333333339</v>
      </c>
      <c r="G243" s="110"/>
    </row>
    <row r="244" spans="2:7" ht="13.5" customHeight="1">
      <c r="B244" s="78"/>
      <c r="C244" s="250" t="str">
        <f>'DADOS DE ENTRADA'!$D$30</f>
        <v>Capa de chuva em PVC</v>
      </c>
      <c r="D244" s="108">
        <v>2</v>
      </c>
      <c r="E244" s="250">
        <v>20.49</v>
      </c>
      <c r="F244" s="251">
        <f>(D244*E244)/12</f>
        <v>3.4149999999999996</v>
      </c>
      <c r="G244" s="110"/>
    </row>
    <row r="245" spans="2:7" ht="13.5" customHeight="1">
      <c r="B245" s="95"/>
      <c r="C245" s="250" t="str">
        <f>'DADOS DE ENTRADA'!$D$28</f>
        <v>Camisa de brim com manga</v>
      </c>
      <c r="D245" s="108">
        <v>2</v>
      </c>
      <c r="E245" s="250">
        <v>63</v>
      </c>
      <c r="F245" s="251">
        <f>(D245*E245)/12</f>
        <v>10.5</v>
      </c>
      <c r="G245" s="110"/>
    </row>
    <row r="246" spans="2:7" ht="13.5" customHeight="1">
      <c r="B246" s="78"/>
      <c r="C246" s="250" t="str">
        <f>'DADOS DE ENTRADA'!$D$29</f>
        <v>Calçados tipo "Vulcabras"</v>
      </c>
      <c r="D246" s="108">
        <v>2</v>
      </c>
      <c r="E246" s="250">
        <v>54.8</v>
      </c>
      <c r="F246" s="251">
        <f>(D246*E246)/12</f>
        <v>9.1333333333333329</v>
      </c>
      <c r="G246" s="110"/>
    </row>
    <row r="247" spans="2:7" ht="13.5" customHeight="1">
      <c r="B247" s="78"/>
      <c r="C247" s="19"/>
      <c r="D247" s="84"/>
      <c r="E247" s="344" t="s">
        <v>278</v>
      </c>
      <c r="F247" s="76">
        <f>SUM(F243:F246)</f>
        <v>31.881666666666668</v>
      </c>
      <c r="G247" s="112"/>
    </row>
    <row r="248" spans="2:7" ht="13.5" customHeight="1">
      <c r="B248" s="78"/>
      <c r="C248" s="19"/>
      <c r="D248" s="19"/>
      <c r="E248" s="19"/>
      <c r="F248" s="19"/>
      <c r="G248" s="114"/>
    </row>
    <row r="249" spans="2:7" ht="13.5" customHeight="1">
      <c r="B249" s="78"/>
      <c r="C249" s="771" t="s">
        <v>279</v>
      </c>
      <c r="D249" s="771"/>
      <c r="E249" s="771"/>
      <c r="F249" s="771"/>
      <c r="G249" s="114"/>
    </row>
    <row r="250" spans="2:7" ht="13.5" customHeight="1">
      <c r="B250" s="87"/>
      <c r="C250" s="104" t="s">
        <v>275</v>
      </c>
      <c r="D250" s="104" t="s">
        <v>276</v>
      </c>
      <c r="E250" s="104" t="s">
        <v>224</v>
      </c>
      <c r="F250" s="104" t="s">
        <v>277</v>
      </c>
      <c r="G250" s="105"/>
    </row>
    <row r="251" spans="2:7" ht="13.5" customHeight="1">
      <c r="B251" s="95"/>
      <c r="C251" s="107" t="str">
        <f>'DADOS DE ENTRADA'!$D$25</f>
        <v>Boné tipo "Jóckey"</v>
      </c>
      <c r="D251" s="108">
        <v>3</v>
      </c>
      <c r="E251" s="250">
        <v>22</v>
      </c>
      <c r="F251" s="109">
        <f t="shared" ref="F251:F260" si="1">(D251*E251)/12</f>
        <v>5.5</v>
      </c>
      <c r="G251" s="229"/>
    </row>
    <row r="252" spans="2:7" ht="13.5" customHeight="1">
      <c r="B252" s="95"/>
      <c r="C252" s="107" t="str">
        <f>'DADOS DE ENTRADA'!$D$26</f>
        <v>Calça comprida de brim</v>
      </c>
      <c r="D252" s="108">
        <v>3</v>
      </c>
      <c r="E252" s="250">
        <f>E243</f>
        <v>53</v>
      </c>
      <c r="F252" s="109">
        <f t="shared" si="1"/>
        <v>13.25</v>
      </c>
      <c r="G252" s="229"/>
    </row>
    <row r="253" spans="2:7" ht="13.5" customHeight="1">
      <c r="B253" s="78"/>
      <c r="C253" s="107" t="str">
        <f>'DADOS DE ENTRADA'!$D$29</f>
        <v>Calçados tipo "Vulcabras"</v>
      </c>
      <c r="D253" s="108">
        <v>3</v>
      </c>
      <c r="E253" s="250">
        <f>E246</f>
        <v>54.8</v>
      </c>
      <c r="F253" s="109">
        <f t="shared" si="1"/>
        <v>13.699999999999998</v>
      </c>
      <c r="G253" s="229"/>
    </row>
    <row r="254" spans="2:7" ht="13.5" customHeight="1">
      <c r="B254" s="95"/>
      <c r="C254" s="348" t="str">
        <f>'DADOS DE ENTRADA'!$D$28</f>
        <v>Camisa de brim com manga</v>
      </c>
      <c r="D254" s="108">
        <v>3</v>
      </c>
      <c r="E254" s="250">
        <f>E245</f>
        <v>63</v>
      </c>
      <c r="F254" s="109">
        <f t="shared" si="1"/>
        <v>15.75</v>
      </c>
      <c r="G254" s="229"/>
    </row>
    <row r="255" spans="2:7" ht="13.5" customHeight="1">
      <c r="B255" s="78"/>
      <c r="C255" s="107" t="str">
        <f>'DADOS DE ENTRADA'!$D$30</f>
        <v>Capa de chuva em PVC</v>
      </c>
      <c r="D255" s="108">
        <v>2</v>
      </c>
      <c r="E255" s="250">
        <f>E244</f>
        <v>20.49</v>
      </c>
      <c r="F255" s="109">
        <f t="shared" si="1"/>
        <v>3.4149999999999996</v>
      </c>
      <c r="G255" s="229"/>
    </row>
    <row r="256" spans="2:7" ht="13.5" customHeight="1">
      <c r="B256" s="95"/>
      <c r="C256" s="107" t="str">
        <f>'DADOS DE ENTRADA'!$D$31</f>
        <v>Colete sinalizador</v>
      </c>
      <c r="D256" s="108">
        <v>2</v>
      </c>
      <c r="E256" s="250">
        <v>18.899999999999999</v>
      </c>
      <c r="F256" s="109">
        <f t="shared" si="1"/>
        <v>3.15</v>
      </c>
      <c r="G256" s="229"/>
    </row>
    <row r="257" spans="2:7" ht="13.5" customHeight="1">
      <c r="B257" s="87"/>
      <c r="C257" s="348" t="str">
        <f>'DADOS DE ENTRADA'!$D$34</f>
        <v>Luva de PVC</v>
      </c>
      <c r="D257" s="108">
        <v>4</v>
      </c>
      <c r="E257" s="250">
        <v>17.5</v>
      </c>
      <c r="F257" s="109">
        <f t="shared" si="1"/>
        <v>5.833333333333333</v>
      </c>
      <c r="G257" s="229"/>
    </row>
    <row r="258" spans="2:7" ht="13.5" customHeight="1">
      <c r="B258" s="78"/>
      <c r="C258" s="107" t="s">
        <v>732</v>
      </c>
      <c r="D258" s="108">
        <v>2</v>
      </c>
      <c r="E258" s="250">
        <v>179.8</v>
      </c>
      <c r="F258" s="109">
        <f t="shared" si="1"/>
        <v>29.966666666666669</v>
      </c>
      <c r="G258" s="229"/>
    </row>
    <row r="259" spans="2:7" ht="13.5" hidden="1" customHeight="1">
      <c r="B259" s="78"/>
      <c r="C259" s="107" t="str">
        <f>'DADOS DE ENTRADA'!$D$37</f>
        <v>Máscara c/filtro</v>
      </c>
      <c r="D259" s="108">
        <v>0</v>
      </c>
      <c r="E259" s="250">
        <f>'DADOS DE ENTRADA'!$E$37</f>
        <v>1.6</v>
      </c>
      <c r="F259" s="109">
        <f t="shared" si="1"/>
        <v>0</v>
      </c>
      <c r="G259" s="229"/>
    </row>
    <row r="260" spans="2:7" ht="13.5" hidden="1" customHeight="1">
      <c r="B260" s="78"/>
      <c r="C260" s="107" t="str">
        <f>'DADOS DE ENTRADA'!$D$39</f>
        <v>Óculos de Proteção</v>
      </c>
      <c r="D260" s="108">
        <v>0</v>
      </c>
      <c r="E260" s="250">
        <f>'DADOS DE ENTRADA'!$E$39</f>
        <v>1.5</v>
      </c>
      <c r="F260" s="109">
        <f t="shared" si="1"/>
        <v>0</v>
      </c>
      <c r="G260" s="229"/>
    </row>
    <row r="261" spans="2:7" ht="13.5" customHeight="1">
      <c r="B261" s="95"/>
      <c r="C261" s="19"/>
      <c r="D261" s="84"/>
      <c r="E261" s="344" t="s">
        <v>280</v>
      </c>
      <c r="F261" s="76">
        <f>SUM(F251:F260)</f>
        <v>90.564999999999998</v>
      </c>
      <c r="G261" s="112"/>
    </row>
    <row r="262" spans="2:7" ht="13.5" customHeight="1">
      <c r="B262" s="78"/>
      <c r="C262" s="84"/>
      <c r="D262" s="19"/>
      <c r="E262" s="93"/>
      <c r="F262" s="116"/>
      <c r="G262" s="23"/>
    </row>
    <row r="263" spans="2:7" ht="13.5" customHeight="1">
      <c r="B263" s="95"/>
      <c r="C263" s="19"/>
      <c r="D263" s="104" t="s">
        <v>281</v>
      </c>
      <c r="E263" s="104" t="s">
        <v>282</v>
      </c>
      <c r="F263" s="104" t="s">
        <v>225</v>
      </c>
      <c r="G263" s="23"/>
    </row>
    <row r="264" spans="2:7" ht="13.5" customHeight="1">
      <c r="B264" s="78"/>
      <c r="C264" s="84" t="s">
        <v>56</v>
      </c>
      <c r="D264" s="108">
        <f>E59</f>
        <v>26</v>
      </c>
      <c r="E264" s="123">
        <f>+F247</f>
        <v>31.881666666666668</v>
      </c>
      <c r="F264" s="109">
        <f>ROUND(+E264*D264,2)</f>
        <v>828.92</v>
      </c>
      <c r="G264" s="23"/>
    </row>
    <row r="265" spans="2:7" ht="13.5" customHeight="1">
      <c r="B265" s="78"/>
      <c r="C265" s="84" t="s">
        <v>722</v>
      </c>
      <c r="D265" s="108">
        <f>E60</f>
        <v>81</v>
      </c>
      <c r="E265" s="233">
        <f>+F261-F256-F258</f>
        <v>57.448333333333323</v>
      </c>
      <c r="F265" s="109">
        <f>ROUND(+E265*D265,2)+56.07*3</f>
        <v>4821.53</v>
      </c>
      <c r="G265" s="23"/>
    </row>
    <row r="266" spans="2:7" ht="13.5" customHeight="1">
      <c r="B266" s="78"/>
      <c r="C266" s="84" t="s">
        <v>721</v>
      </c>
      <c r="D266" s="108">
        <v>1</v>
      </c>
      <c r="E266" s="233">
        <f>E264+F258</f>
        <v>61.848333333333336</v>
      </c>
      <c r="F266" s="109">
        <f>ROUND(+E266*D266,2)</f>
        <v>61.85</v>
      </c>
      <c r="G266" s="23"/>
    </row>
    <row r="267" spans="2:7" ht="13.5" hidden="1" customHeight="1">
      <c r="B267" s="78"/>
      <c r="C267" s="84" t="s">
        <v>53</v>
      </c>
      <c r="D267" s="108">
        <f>E62</f>
        <v>0</v>
      </c>
      <c r="E267" s="121">
        <f>F247+F246</f>
        <v>41.015000000000001</v>
      </c>
      <c r="F267" s="109">
        <f>ROUND(+E267*D267,2)</f>
        <v>0</v>
      </c>
      <c r="G267" s="23"/>
    </row>
    <row r="268" spans="2:7" ht="13.5" customHeight="1">
      <c r="B268" s="78"/>
      <c r="C268" s="19"/>
      <c r="D268" s="84"/>
      <c r="E268" s="344" t="s">
        <v>285</v>
      </c>
      <c r="F268" s="76">
        <f>SUM(F264:F267)</f>
        <v>5712.3</v>
      </c>
      <c r="G268" s="112" t="s">
        <v>229</v>
      </c>
    </row>
    <row r="269" spans="2:7" ht="13.5" customHeight="1">
      <c r="B269" s="78"/>
      <c r="C269" s="19"/>
      <c r="D269" s="16"/>
      <c r="E269" s="344" t="s">
        <v>286</v>
      </c>
      <c r="F269" s="76">
        <f>E9*F268</f>
        <v>68547.600000000006</v>
      </c>
      <c r="G269" s="112" t="s">
        <v>229</v>
      </c>
    </row>
    <row r="270" spans="2:7" ht="13.5" customHeight="1">
      <c r="B270" s="86"/>
      <c r="C270" s="19"/>
      <c r="D270" s="19"/>
      <c r="E270" s="93"/>
      <c r="F270" s="116"/>
      <c r="G270" s="23"/>
    </row>
    <row r="271" spans="2:7" ht="13.5" customHeight="1">
      <c r="B271" s="87" t="s">
        <v>287</v>
      </c>
      <c r="C271" s="19"/>
      <c r="D271" s="117"/>
      <c r="E271" s="117"/>
      <c r="F271" s="117"/>
      <c r="G271" s="23"/>
    </row>
    <row r="272" spans="2:7" ht="13.5" customHeight="1">
      <c r="B272" s="118"/>
      <c r="C272" s="119"/>
      <c r="D272" s="104" t="s">
        <v>288</v>
      </c>
      <c r="E272" s="234" t="s">
        <v>224</v>
      </c>
      <c r="F272" s="82" t="s">
        <v>277</v>
      </c>
      <c r="G272" s="23"/>
    </row>
    <row r="273" spans="2:7" ht="13.5" customHeight="1">
      <c r="B273" s="118"/>
      <c r="C273" s="119" t="s">
        <v>289</v>
      </c>
      <c r="D273" s="122">
        <v>2</v>
      </c>
      <c r="E273" s="123">
        <v>12</v>
      </c>
      <c r="F273" s="72">
        <f>(D273*E273)/12</f>
        <v>2</v>
      </c>
      <c r="G273" s="23"/>
    </row>
    <row r="274" spans="2:7" ht="13.5" customHeight="1">
      <c r="B274" s="118"/>
      <c r="C274" s="119" t="s">
        <v>29</v>
      </c>
      <c r="D274" s="122">
        <v>2</v>
      </c>
      <c r="E274" s="123">
        <v>110.5</v>
      </c>
      <c r="F274" s="72">
        <f>(D274*E274)/12</f>
        <v>18.416666666666668</v>
      </c>
      <c r="G274" s="23"/>
    </row>
    <row r="275" spans="2:7" ht="13.5" customHeight="1">
      <c r="B275" s="78"/>
      <c r="C275" s="117" t="s">
        <v>42</v>
      </c>
      <c r="D275" s="120">
        <v>2</v>
      </c>
      <c r="E275" s="121">
        <v>34</v>
      </c>
      <c r="F275" s="72">
        <f>(D275*E275)/12</f>
        <v>5.666666666666667</v>
      </c>
      <c r="G275" s="124"/>
    </row>
    <row r="276" spans="2:7" ht="13.5" customHeight="1">
      <c r="B276" s="78"/>
      <c r="C276" s="117" t="s">
        <v>50</v>
      </c>
      <c r="D276" s="120">
        <v>4</v>
      </c>
      <c r="E276" s="121">
        <v>39</v>
      </c>
      <c r="F276" s="72">
        <f>(D276*E276)/12</f>
        <v>13</v>
      </c>
      <c r="G276" s="124"/>
    </row>
    <row r="277" spans="2:7" ht="13.5" customHeight="1">
      <c r="B277" s="78"/>
      <c r="C277" s="117" t="s">
        <v>733</v>
      </c>
      <c r="D277" s="120">
        <v>4</v>
      </c>
      <c r="E277" s="121">
        <v>2700</v>
      </c>
      <c r="F277" s="72">
        <f>(D277*E277)/24</f>
        <v>450</v>
      </c>
      <c r="G277" s="124"/>
    </row>
    <row r="278" spans="2:7" ht="13.5" customHeight="1">
      <c r="B278" s="95"/>
      <c r="C278" s="84"/>
      <c r="D278" s="19"/>
      <c r="E278" s="344" t="s">
        <v>290</v>
      </c>
      <c r="F278" s="231">
        <f>SUM(F273:F276)</f>
        <v>39.083333333333336</v>
      </c>
      <c r="G278" s="112" t="s">
        <v>229</v>
      </c>
    </row>
    <row r="279" spans="2:7" ht="13.5" customHeight="1">
      <c r="B279" s="95"/>
      <c r="C279" s="19"/>
      <c r="D279" s="19"/>
      <c r="E279" s="93"/>
      <c r="F279" s="93"/>
      <c r="G279" s="23"/>
    </row>
    <row r="280" spans="2:7" ht="13.5" customHeight="1">
      <c r="B280" s="69"/>
      <c r="C280" s="79"/>
      <c r="D280" s="104" t="s">
        <v>291</v>
      </c>
      <c r="E280" s="104" t="s">
        <v>282</v>
      </c>
      <c r="F280" s="104" t="s">
        <v>225</v>
      </c>
      <c r="G280" s="23"/>
    </row>
    <row r="281" spans="2:7" ht="13.5" customHeight="1">
      <c r="B281" s="78"/>
      <c r="C281" s="19"/>
      <c r="D281" s="108">
        <v>15</v>
      </c>
      <c r="E281" s="108">
        <f>F278</f>
        <v>39.083333333333336</v>
      </c>
      <c r="F281" s="109">
        <f>ROUND(+E281*D281,2)</f>
        <v>586.25</v>
      </c>
      <c r="G281" s="23"/>
    </row>
    <row r="282" spans="2:7" ht="13.5" customHeight="1">
      <c r="B282" s="78"/>
      <c r="C282" s="19"/>
      <c r="D282" s="108">
        <v>1</v>
      </c>
      <c r="E282" s="108">
        <f>F276+F275+F274</f>
        <v>37.083333333333336</v>
      </c>
      <c r="F282" s="109">
        <f>ROUND(+E282*D282,2)</f>
        <v>37.08</v>
      </c>
      <c r="G282" s="23"/>
    </row>
    <row r="283" spans="2:7" ht="13.5" customHeight="1">
      <c r="B283" s="78"/>
      <c r="C283" s="19"/>
      <c r="D283" s="108">
        <v>1</v>
      </c>
      <c r="E283" s="108">
        <f>F277+F276+F275+F274</f>
        <v>487.08333333333337</v>
      </c>
      <c r="F283" s="109">
        <f>ROUND(+E283*D283,2)</f>
        <v>487.08</v>
      </c>
      <c r="G283" s="23"/>
    </row>
    <row r="284" spans="2:7" ht="13.5" customHeight="1">
      <c r="B284" s="86"/>
      <c r="C284" s="19"/>
      <c r="D284" s="19"/>
      <c r="E284" s="344" t="s">
        <v>292</v>
      </c>
      <c r="F284" s="231">
        <f>F281+F282+F283</f>
        <v>1110.4100000000001</v>
      </c>
      <c r="G284" s="23"/>
    </row>
    <row r="285" spans="2:7" ht="13.5" customHeight="1">
      <c r="B285" s="86"/>
      <c r="C285" s="19"/>
      <c r="D285" s="19"/>
      <c r="E285" s="344" t="s">
        <v>293</v>
      </c>
      <c r="F285" s="76">
        <f>+E9*F284</f>
        <v>13324.920000000002</v>
      </c>
      <c r="G285" s="112" t="s">
        <v>229</v>
      </c>
    </row>
    <row r="286" spans="2:7" ht="13.5" customHeight="1" thickBot="1">
      <c r="B286" s="125"/>
      <c r="C286" s="48"/>
      <c r="D286" s="48"/>
      <c r="E286" s="126"/>
      <c r="F286" s="127"/>
      <c r="G286" s="29"/>
    </row>
    <row r="287" spans="2:7" ht="13.5" customHeight="1" thickBot="1">
      <c r="B287" s="78"/>
      <c r="C287" s="19"/>
      <c r="D287" s="19"/>
      <c r="E287" s="93"/>
      <c r="F287" s="80"/>
      <c r="G287" s="23"/>
    </row>
    <row r="288" spans="2:7" ht="13.5" customHeight="1">
      <c r="B288" s="86"/>
      <c r="C288" s="128"/>
      <c r="D288" s="129"/>
      <c r="E288" s="129"/>
      <c r="F288" s="130"/>
      <c r="G288" s="112"/>
    </row>
    <row r="289" spans="1:7" ht="13.5" customHeight="1">
      <c r="B289" s="86"/>
      <c r="C289" s="347" t="s">
        <v>294</v>
      </c>
      <c r="D289" s="132"/>
      <c r="E289" s="76">
        <f>F284+F268</f>
        <v>6822.71</v>
      </c>
      <c r="F289" s="133" t="s">
        <v>229</v>
      </c>
      <c r="G289" s="23"/>
    </row>
    <row r="290" spans="1:7" ht="13.5" customHeight="1">
      <c r="B290" s="86"/>
      <c r="C290" s="134" t="s">
        <v>295</v>
      </c>
      <c r="D290" s="132"/>
      <c r="E290" s="132"/>
      <c r="F290" s="135"/>
      <c r="G290" s="23"/>
    </row>
    <row r="291" spans="1:7" ht="13.5" customHeight="1">
      <c r="B291" s="86"/>
      <c r="C291" s="347" t="s">
        <v>296</v>
      </c>
      <c r="D291" s="132"/>
      <c r="E291" s="76">
        <f>+E289*E9</f>
        <v>81872.52</v>
      </c>
      <c r="F291" s="133" t="s">
        <v>229</v>
      </c>
      <c r="G291" s="23"/>
    </row>
    <row r="292" spans="1:7" ht="13.5" customHeight="1" thickBot="1">
      <c r="B292" s="86"/>
      <c r="C292" s="136" t="s">
        <v>295</v>
      </c>
      <c r="D292" s="137"/>
      <c r="E292" s="137"/>
      <c r="F292" s="138"/>
      <c r="G292" s="112"/>
    </row>
    <row r="293" spans="1:7" ht="13.5" customHeight="1" thickBot="1">
      <c r="B293" s="139"/>
      <c r="C293" s="48"/>
      <c r="D293" s="48"/>
      <c r="E293" s="48"/>
      <c r="F293" s="127"/>
      <c r="G293" s="29"/>
    </row>
    <row r="294" spans="1:7" ht="13.5" customHeight="1">
      <c r="A294" s="3"/>
      <c r="B294" s="3"/>
      <c r="E294" s="100"/>
      <c r="F294" s="2"/>
    </row>
    <row r="295" spans="1:7" ht="13.5" customHeight="1">
      <c r="A295" s="757" t="s">
        <v>297</v>
      </c>
      <c r="B295" s="758"/>
      <c r="C295" s="758"/>
      <c r="D295" s="758"/>
      <c r="E295" s="758"/>
      <c r="F295" s="758"/>
      <c r="G295" s="758"/>
    </row>
    <row r="296" spans="1:7" ht="13.5" customHeight="1">
      <c r="B296" s="3"/>
      <c r="F296" s="100"/>
    </row>
    <row r="297" spans="1:7" ht="13.5" customHeight="1">
      <c r="A297" s="772" t="s">
        <v>298</v>
      </c>
      <c r="B297" s="772"/>
      <c r="C297" s="772"/>
      <c r="D297" s="772"/>
      <c r="E297" s="772"/>
      <c r="F297" s="772"/>
      <c r="G297" s="772"/>
    </row>
    <row r="298" spans="1:7" ht="13.5" customHeight="1" thickBot="1">
      <c r="B298" s="3"/>
      <c r="F298" s="100"/>
    </row>
    <row r="299" spans="1:7" ht="13.5" customHeight="1">
      <c r="A299" s="52"/>
      <c r="B299" s="349" t="s">
        <v>299</v>
      </c>
      <c r="C299" s="13"/>
      <c r="D299" s="13"/>
      <c r="E299" s="140"/>
      <c r="F299" s="13"/>
      <c r="G299" s="14"/>
    </row>
    <row r="300" spans="1:7" ht="13.5" customHeight="1">
      <c r="A300" s="52"/>
      <c r="B300" s="86"/>
      <c r="C300" s="19"/>
      <c r="D300" s="19"/>
      <c r="E300" s="93"/>
      <c r="F300" s="19"/>
      <c r="G300" s="23"/>
    </row>
    <row r="301" spans="1:7">
      <c r="A301" s="52"/>
      <c r="B301" s="141" t="s">
        <v>725</v>
      </c>
      <c r="C301" s="19"/>
      <c r="D301" s="19"/>
      <c r="E301" s="142">
        <v>0.2</v>
      </c>
      <c r="F301" s="19"/>
      <c r="G301" s="23"/>
    </row>
    <row r="302" spans="1:7">
      <c r="A302" s="52"/>
      <c r="B302" s="141"/>
      <c r="C302" s="19"/>
      <c r="D302" s="19"/>
      <c r="E302" s="19"/>
      <c r="F302" s="19"/>
      <c r="G302" s="23"/>
    </row>
    <row r="303" spans="1:7" ht="12.75" customHeight="1">
      <c r="A303" s="52"/>
      <c r="B303" s="143"/>
      <c r="C303" s="144" t="s">
        <v>723</v>
      </c>
      <c r="D303" s="145"/>
      <c r="E303" s="72">
        <v>1</v>
      </c>
      <c r="F303" s="77" t="s">
        <v>301</v>
      </c>
      <c r="G303" s="23"/>
    </row>
    <row r="304" spans="1:7" hidden="1">
      <c r="A304" s="52"/>
      <c r="B304" s="143"/>
      <c r="C304" s="144" t="s">
        <v>302</v>
      </c>
      <c r="D304" s="145"/>
      <c r="E304" s="21">
        <v>0</v>
      </c>
      <c r="F304" s="77" t="s">
        <v>229</v>
      </c>
      <c r="G304" s="23"/>
    </row>
    <row r="305" spans="1:12">
      <c r="A305" s="52"/>
      <c r="B305" s="143"/>
      <c r="C305" s="144" t="s">
        <v>724</v>
      </c>
      <c r="D305" s="145"/>
      <c r="E305" s="21">
        <v>290000</v>
      </c>
      <c r="F305" s="77"/>
      <c r="G305" s="23"/>
    </row>
    <row r="306" spans="1:12" hidden="1">
      <c r="A306" s="52"/>
      <c r="B306" s="143"/>
      <c r="C306" s="144" t="s">
        <v>303</v>
      </c>
      <c r="D306" s="145"/>
      <c r="E306" s="21">
        <f>E304+E305</f>
        <v>290000</v>
      </c>
      <c r="F306" s="77" t="s">
        <v>229</v>
      </c>
      <c r="G306" s="23"/>
    </row>
    <row r="307" spans="1:12">
      <c r="A307" s="52"/>
      <c r="B307" s="143"/>
      <c r="C307" s="144" t="s">
        <v>304</v>
      </c>
      <c r="D307" s="145"/>
      <c r="E307" s="21">
        <v>5</v>
      </c>
      <c r="F307" s="77" t="s">
        <v>305</v>
      </c>
      <c r="G307" s="23"/>
    </row>
    <row r="308" spans="1:12" ht="12" thickBot="1">
      <c r="A308" s="52"/>
      <c r="B308" s="146"/>
      <c r="C308" s="144" t="s">
        <v>306</v>
      </c>
      <c r="D308" s="145"/>
      <c r="E308" s="27">
        <f>E301*E306</f>
        <v>58000</v>
      </c>
      <c r="F308" s="77" t="s">
        <v>229</v>
      </c>
      <c r="G308" s="23"/>
      <c r="J308" s="144"/>
      <c r="K308" s="145"/>
      <c r="L308" s="77"/>
    </row>
    <row r="309" spans="1:12">
      <c r="A309" s="52"/>
      <c r="B309" s="146"/>
      <c r="C309" s="144" t="s">
        <v>307</v>
      </c>
      <c r="D309" s="145"/>
      <c r="E309" s="147">
        <v>2504.64</v>
      </c>
      <c r="F309" s="77" t="s">
        <v>308</v>
      </c>
      <c r="G309" s="23"/>
      <c r="J309" s="144"/>
      <c r="K309" s="145"/>
      <c r="L309" s="77"/>
    </row>
    <row r="310" spans="1:12">
      <c r="A310" s="52"/>
      <c r="B310" s="141"/>
      <c r="C310" s="144" t="s">
        <v>309</v>
      </c>
      <c r="D310" s="145"/>
      <c r="E310" s="148">
        <f>(E306-E308)/(E307*E309)</f>
        <v>18.525616455857929</v>
      </c>
      <c r="F310" s="77" t="s">
        <v>229</v>
      </c>
      <c r="G310" s="23"/>
      <c r="J310" s="144"/>
      <c r="K310" s="145"/>
      <c r="L310" s="77"/>
    </row>
    <row r="311" spans="1:12">
      <c r="A311" s="52"/>
      <c r="B311" s="141"/>
      <c r="C311" s="149" t="s">
        <v>310</v>
      </c>
      <c r="D311" s="145"/>
      <c r="E311" s="150">
        <f>E310*E309</f>
        <v>46400</v>
      </c>
      <c r="F311" s="77" t="s">
        <v>229</v>
      </c>
      <c r="G311" s="23"/>
      <c r="J311" s="144"/>
      <c r="K311" s="145"/>
      <c r="L311" s="77"/>
    </row>
    <row r="312" spans="1:12">
      <c r="A312" s="52"/>
      <c r="B312" s="141"/>
      <c r="C312" s="149" t="s">
        <v>311</v>
      </c>
      <c r="D312" s="145"/>
      <c r="E312" s="151">
        <f>E311/12</f>
        <v>3866.6666666666665</v>
      </c>
      <c r="F312" s="77" t="s">
        <v>312</v>
      </c>
      <c r="G312" s="23"/>
      <c r="J312" s="144"/>
      <c r="K312" s="145"/>
      <c r="L312" s="77"/>
    </row>
    <row r="313" spans="1:12" ht="12" thickBot="1">
      <c r="A313" s="52"/>
      <c r="B313" s="141"/>
      <c r="C313" s="149" t="s">
        <v>313</v>
      </c>
      <c r="D313" s="145"/>
      <c r="E313" s="152">
        <f>E303*E312</f>
        <v>3866.6666666666665</v>
      </c>
      <c r="F313" s="77" t="s">
        <v>312</v>
      </c>
      <c r="G313" s="23"/>
      <c r="J313" s="144"/>
      <c r="K313" s="145"/>
      <c r="L313" s="77"/>
    </row>
    <row r="314" spans="1:12">
      <c r="A314" s="52"/>
      <c r="B314" s="141"/>
      <c r="C314" s="149"/>
      <c r="D314" s="145"/>
      <c r="E314" s="149"/>
      <c r="F314" s="77"/>
      <c r="G314" s="23"/>
      <c r="J314" s="144"/>
      <c r="K314" s="145"/>
      <c r="L314" s="77"/>
    </row>
    <row r="315" spans="1:12">
      <c r="A315" s="52"/>
      <c r="B315" s="141"/>
      <c r="C315" s="149"/>
      <c r="D315" s="145"/>
      <c r="E315" s="149"/>
      <c r="F315" s="77"/>
      <c r="G315" s="23"/>
      <c r="J315" s="144"/>
      <c r="K315" s="145"/>
      <c r="L315" s="77"/>
    </row>
    <row r="316" spans="1:12">
      <c r="A316" s="52"/>
      <c r="B316" s="141"/>
      <c r="C316" s="144" t="s">
        <v>300</v>
      </c>
      <c r="D316" s="145"/>
      <c r="E316" s="72">
        <v>15</v>
      </c>
      <c r="F316" s="77" t="s">
        <v>301</v>
      </c>
      <c r="G316" s="23"/>
      <c r="J316" s="149"/>
      <c r="K316" s="145"/>
      <c r="L316" s="77"/>
    </row>
    <row r="317" spans="1:12">
      <c r="A317" s="52"/>
      <c r="B317" s="141"/>
      <c r="C317" s="144" t="s">
        <v>302</v>
      </c>
      <c r="D317" s="145"/>
      <c r="E317" s="21">
        <v>580706</v>
      </c>
      <c r="F317" s="77" t="s">
        <v>229</v>
      </c>
      <c r="G317" s="23"/>
      <c r="J317" s="149"/>
      <c r="K317" s="145"/>
      <c r="L317" s="77"/>
    </row>
    <row r="318" spans="1:12">
      <c r="A318" s="52"/>
      <c r="B318" s="141"/>
      <c r="C318" s="144" t="s">
        <v>548</v>
      </c>
      <c r="D318" s="145"/>
      <c r="E318" s="21">
        <v>280000</v>
      </c>
      <c r="F318" s="77"/>
      <c r="G318" s="23"/>
      <c r="J318" s="149"/>
      <c r="K318" s="145"/>
      <c r="L318" s="77"/>
    </row>
    <row r="319" spans="1:12">
      <c r="A319" s="52"/>
      <c r="B319" s="141"/>
      <c r="C319" s="144" t="s">
        <v>303</v>
      </c>
      <c r="D319" s="145"/>
      <c r="E319" s="21">
        <f>E317+E318</f>
        <v>860706</v>
      </c>
      <c r="F319" s="77" t="s">
        <v>229</v>
      </c>
      <c r="G319" s="23"/>
      <c r="J319" s="149"/>
      <c r="K319" s="145"/>
      <c r="L319" s="77"/>
    </row>
    <row r="320" spans="1:12">
      <c r="A320" s="52"/>
      <c r="B320" s="141"/>
      <c r="C320" s="144" t="s">
        <v>304</v>
      </c>
      <c r="D320" s="145"/>
      <c r="E320" s="21">
        <v>5</v>
      </c>
      <c r="F320" s="77" t="s">
        <v>305</v>
      </c>
      <c r="G320" s="23"/>
      <c r="J320" s="149"/>
      <c r="K320" s="145"/>
      <c r="L320" s="77"/>
    </row>
    <row r="321" spans="1:12" ht="12" thickBot="1">
      <c r="A321" s="52"/>
      <c r="B321" s="141"/>
      <c r="C321" s="144" t="s">
        <v>306</v>
      </c>
      <c r="D321" s="145"/>
      <c r="E321" s="27">
        <f>E319*E301</f>
        <v>172141.2</v>
      </c>
      <c r="F321" s="77" t="s">
        <v>229</v>
      </c>
      <c r="G321" s="23"/>
      <c r="J321" s="144"/>
      <c r="K321" s="145"/>
      <c r="L321" s="77"/>
    </row>
    <row r="322" spans="1:12">
      <c r="A322" s="52"/>
      <c r="B322" s="141"/>
      <c r="C322" s="144" t="s">
        <v>307</v>
      </c>
      <c r="D322" s="145"/>
      <c r="E322" s="147">
        <f>E309</f>
        <v>2504.64</v>
      </c>
      <c r="F322" s="77" t="s">
        <v>308</v>
      </c>
      <c r="G322" s="23"/>
      <c r="J322" s="144"/>
      <c r="K322" s="145"/>
      <c r="L322" s="77"/>
    </row>
    <row r="323" spans="1:12">
      <c r="A323" s="52"/>
      <c r="B323" s="141"/>
      <c r="C323" s="144" t="s">
        <v>309</v>
      </c>
      <c r="D323" s="145"/>
      <c r="E323" s="148">
        <f>(E319-E321)*1.5/(E320*E322*1.25)</f>
        <v>65.979762361057894</v>
      </c>
      <c r="F323" s="77" t="s">
        <v>229</v>
      </c>
      <c r="G323" s="23"/>
      <c r="J323" s="144"/>
      <c r="K323" s="145"/>
      <c r="L323" s="77"/>
    </row>
    <row r="324" spans="1:12">
      <c r="A324" s="52"/>
      <c r="B324" s="141"/>
      <c r="C324" s="149" t="s">
        <v>310</v>
      </c>
      <c r="D324" s="145"/>
      <c r="E324" s="150">
        <f>E323*E322</f>
        <v>165255.55200000003</v>
      </c>
      <c r="F324" s="77" t="s">
        <v>229</v>
      </c>
      <c r="G324" s="23"/>
      <c r="J324" s="144"/>
      <c r="K324" s="145"/>
      <c r="L324" s="77"/>
    </row>
    <row r="325" spans="1:12">
      <c r="A325" s="52"/>
      <c r="B325" s="141"/>
      <c r="C325" s="149" t="s">
        <v>311</v>
      </c>
      <c r="D325" s="145"/>
      <c r="E325" s="151">
        <f>E324/12</f>
        <v>13771.296000000002</v>
      </c>
      <c r="F325" s="77" t="s">
        <v>312</v>
      </c>
      <c r="G325" s="23"/>
      <c r="J325" s="144"/>
      <c r="K325" s="145"/>
      <c r="L325" s="77"/>
    </row>
    <row r="326" spans="1:12" ht="12" thickBot="1">
      <c r="A326" s="52"/>
      <c r="B326" s="141"/>
      <c r="C326" s="149" t="s">
        <v>313</v>
      </c>
      <c r="D326" s="145"/>
      <c r="E326" s="152">
        <f>E316*E325</f>
        <v>206569.44000000003</v>
      </c>
      <c r="F326" s="77" t="s">
        <v>312</v>
      </c>
      <c r="G326" s="23"/>
      <c r="J326" s="144"/>
      <c r="K326" s="145"/>
      <c r="L326" s="77"/>
    </row>
    <row r="327" spans="1:12">
      <c r="A327" s="52"/>
      <c r="B327" s="86"/>
      <c r="C327" s="19"/>
      <c r="D327" s="19"/>
      <c r="E327" s="93"/>
      <c r="F327" s="19"/>
      <c r="G327" s="23"/>
      <c r="J327" s="144"/>
      <c r="K327" s="145"/>
      <c r="L327" s="77"/>
    </row>
    <row r="328" spans="1:12">
      <c r="A328" s="52"/>
      <c r="B328" s="86"/>
      <c r="C328" s="19"/>
      <c r="D328" s="19"/>
      <c r="E328" s="93"/>
      <c r="F328" s="19"/>
      <c r="G328" s="23"/>
      <c r="J328" s="144"/>
      <c r="K328" s="145"/>
      <c r="L328" s="77"/>
    </row>
    <row r="329" spans="1:12">
      <c r="A329" s="52"/>
      <c r="B329" s="86"/>
      <c r="C329" s="19"/>
      <c r="D329" s="84" t="s">
        <v>316</v>
      </c>
      <c r="E329" s="76">
        <f>E326+E313</f>
        <v>210436.10666666669</v>
      </c>
      <c r="F329" s="77" t="s">
        <v>229</v>
      </c>
      <c r="G329" s="23"/>
      <c r="J329" s="144"/>
      <c r="K329" s="145"/>
      <c r="L329" s="77"/>
    </row>
    <row r="330" spans="1:12">
      <c r="A330" s="52"/>
      <c r="B330" s="86"/>
      <c r="C330" s="19"/>
      <c r="D330" s="344" t="s">
        <v>286</v>
      </c>
      <c r="E330" s="171">
        <f>E9*E329</f>
        <v>2525233.2800000003</v>
      </c>
      <c r="F330" s="77" t="s">
        <v>229</v>
      </c>
      <c r="G330" s="23"/>
      <c r="J330" s="144"/>
      <c r="K330" s="145"/>
      <c r="L330" s="77"/>
    </row>
    <row r="331" spans="1:12">
      <c r="B331" s="86"/>
      <c r="C331" s="19"/>
      <c r="D331" s="19"/>
      <c r="E331" s="19"/>
      <c r="F331" s="80"/>
      <c r="G331" s="235"/>
    </row>
    <row r="332" spans="1:12">
      <c r="B332" s="86"/>
      <c r="C332" s="19"/>
      <c r="D332" s="19"/>
      <c r="E332" s="19"/>
      <c r="F332" s="80"/>
      <c r="G332" s="235"/>
    </row>
    <row r="333" spans="1:12">
      <c r="B333" s="86"/>
      <c r="C333" s="19"/>
      <c r="D333" s="19"/>
      <c r="E333" s="19"/>
      <c r="F333" s="80"/>
      <c r="G333" s="235"/>
    </row>
    <row r="334" spans="1:12">
      <c r="A334" s="52"/>
      <c r="B334" s="350" t="s">
        <v>317</v>
      </c>
      <c r="C334" s="19"/>
      <c r="D334" s="19"/>
      <c r="E334" s="19"/>
      <c r="F334" s="80"/>
      <c r="G334" s="235"/>
    </row>
    <row r="335" spans="1:12">
      <c r="A335" s="52"/>
      <c r="B335" s="350"/>
      <c r="C335" s="19"/>
      <c r="D335" s="19"/>
      <c r="E335" s="19"/>
      <c r="F335" s="80"/>
      <c r="G335" s="235"/>
    </row>
    <row r="336" spans="1:12">
      <c r="B336" s="141" t="s">
        <v>319</v>
      </c>
      <c r="C336" s="19"/>
      <c r="D336" s="19"/>
      <c r="E336" s="19"/>
      <c r="F336" s="80"/>
      <c r="G336" s="235"/>
    </row>
    <row r="337" spans="2:7">
      <c r="B337" s="153"/>
      <c r="C337" s="154" t="s">
        <v>320</v>
      </c>
      <c r="D337" s="155"/>
      <c r="E337" s="80"/>
      <c r="F337" s="80"/>
      <c r="G337" s="235"/>
    </row>
    <row r="338" spans="2:7">
      <c r="B338" s="153"/>
      <c r="C338" s="19"/>
      <c r="D338" s="19"/>
      <c r="E338" s="19"/>
      <c r="F338" s="80"/>
      <c r="G338" s="235"/>
    </row>
    <row r="339" spans="2:7" ht="13.5" customHeight="1">
      <c r="B339" s="153"/>
      <c r="C339" s="156" t="s">
        <v>321</v>
      </c>
      <c r="D339" s="157">
        <f>E301</f>
        <v>0.2</v>
      </c>
      <c r="E339" s="19"/>
      <c r="F339" s="80"/>
      <c r="G339" s="235"/>
    </row>
    <row r="340" spans="2:7">
      <c r="B340" s="153"/>
      <c r="C340" s="158" t="s">
        <v>322</v>
      </c>
      <c r="D340" s="159">
        <v>5</v>
      </c>
      <c r="E340" s="19"/>
      <c r="F340" s="80"/>
      <c r="G340" s="235"/>
    </row>
    <row r="341" spans="2:7">
      <c r="B341" s="153"/>
      <c r="C341" s="158" t="s">
        <v>323</v>
      </c>
      <c r="D341" s="160">
        <v>0.104</v>
      </c>
      <c r="E341" s="19"/>
      <c r="F341" s="80"/>
      <c r="G341" s="235"/>
    </row>
    <row r="342" spans="2:7" ht="12" thickBot="1">
      <c r="B342" s="143"/>
      <c r="C342" s="161" t="s">
        <v>324</v>
      </c>
      <c r="D342" s="162">
        <f>((2+(D340-1)*(D339+1))/(24*D340)*D341)</f>
        <v>5.8933333333333329E-3</v>
      </c>
      <c r="E342" s="77"/>
      <c r="F342" s="77"/>
      <c r="G342" s="235"/>
    </row>
    <row r="343" spans="2:7">
      <c r="B343" s="143"/>
      <c r="C343" s="145"/>
      <c r="D343" s="145"/>
      <c r="E343" s="77"/>
      <c r="F343" s="77"/>
      <c r="G343" s="235"/>
    </row>
    <row r="344" spans="2:7">
      <c r="B344" s="143"/>
      <c r="C344" s="144" t="s">
        <v>626</v>
      </c>
      <c r="D344" s="77"/>
      <c r="E344" s="72">
        <f>E316+E303</f>
        <v>16</v>
      </c>
      <c r="F344" s="77" t="s">
        <v>301</v>
      </c>
      <c r="G344" s="235"/>
    </row>
    <row r="345" spans="2:7">
      <c r="B345" s="143"/>
      <c r="C345" s="144" t="s">
        <v>303</v>
      </c>
      <c r="D345" s="145"/>
      <c r="E345" s="21">
        <f>E319+E305</f>
        <v>1150706</v>
      </c>
      <c r="F345" s="77" t="s">
        <v>229</v>
      </c>
      <c r="G345" s="235"/>
    </row>
    <row r="346" spans="2:7">
      <c r="B346" s="143"/>
      <c r="C346" s="144" t="s">
        <v>326</v>
      </c>
      <c r="D346" s="145"/>
      <c r="E346" s="163">
        <f>D342</f>
        <v>5.8933333333333329E-3</v>
      </c>
      <c r="F346" s="164"/>
      <c r="G346" s="235"/>
    </row>
    <row r="347" spans="2:7" ht="10.95" customHeight="1">
      <c r="B347" s="143"/>
      <c r="C347" s="144" t="s">
        <v>327</v>
      </c>
      <c r="D347" s="145"/>
      <c r="E347" s="21">
        <f>E345*E346</f>
        <v>6781.4940266666663</v>
      </c>
      <c r="F347" s="77" t="s">
        <v>229</v>
      </c>
      <c r="G347" s="235"/>
    </row>
    <row r="348" spans="2:7">
      <c r="B348" s="165"/>
      <c r="C348" s="149" t="s">
        <v>726</v>
      </c>
      <c r="D348" s="145"/>
      <c r="E348" s="166">
        <f>E347*E344</f>
        <v>108503.90442666666</v>
      </c>
      <c r="F348" s="167"/>
      <c r="G348" s="235"/>
    </row>
    <row r="349" spans="2:7" hidden="1">
      <c r="B349" s="165"/>
      <c r="C349" s="149"/>
      <c r="D349" s="145"/>
      <c r="E349" s="145"/>
      <c r="F349" s="167"/>
      <c r="G349" s="235"/>
    </row>
    <row r="350" spans="2:7" hidden="1">
      <c r="B350" s="350" t="s">
        <v>314</v>
      </c>
      <c r="C350" s="149"/>
      <c r="D350" s="145"/>
      <c r="E350" s="145"/>
      <c r="F350" s="167"/>
      <c r="G350" s="235"/>
    </row>
    <row r="351" spans="2:7" hidden="1">
      <c r="B351" s="141"/>
      <c r="C351" s="154" t="s">
        <v>320</v>
      </c>
      <c r="D351" s="155"/>
      <c r="E351" s="80"/>
      <c r="F351" s="80"/>
      <c r="G351" s="235"/>
    </row>
    <row r="352" spans="2:7" hidden="1">
      <c r="B352" s="86"/>
      <c r="C352" s="19"/>
      <c r="D352" s="19"/>
      <c r="E352" s="19"/>
      <c r="F352" s="80"/>
      <c r="G352" s="235"/>
    </row>
    <row r="353" spans="1:7" hidden="1">
      <c r="B353" s="86"/>
      <c r="C353" s="156" t="s">
        <v>321</v>
      </c>
      <c r="D353" s="157">
        <v>0</v>
      </c>
      <c r="E353" s="19"/>
      <c r="F353" s="80"/>
      <c r="G353" s="235"/>
    </row>
    <row r="354" spans="1:7" hidden="1">
      <c r="B354" s="86"/>
      <c r="C354" s="158" t="s">
        <v>322</v>
      </c>
      <c r="D354" s="159">
        <v>0</v>
      </c>
      <c r="E354" s="19"/>
      <c r="F354" s="80"/>
      <c r="G354" s="235"/>
    </row>
    <row r="355" spans="1:7" hidden="1">
      <c r="B355" s="86"/>
      <c r="C355" s="158" t="s">
        <v>323</v>
      </c>
      <c r="D355" s="160">
        <f>'DADOS DE ENTRADA'!B48</f>
        <v>0.03</v>
      </c>
      <c r="E355" s="19"/>
      <c r="F355" s="80"/>
      <c r="G355" s="235"/>
    </row>
    <row r="356" spans="1:7" ht="12" hidden="1" thickBot="1">
      <c r="B356" s="86"/>
      <c r="C356" s="161" t="s">
        <v>324</v>
      </c>
      <c r="D356" s="162" t="e">
        <f>((2+(D354-1)*(D353+1))/(24*D354)*D355)</f>
        <v>#DIV/0!</v>
      </c>
      <c r="E356" s="77"/>
      <c r="F356" s="77"/>
      <c r="G356" s="235"/>
    </row>
    <row r="357" spans="1:7" hidden="1">
      <c r="B357" s="86"/>
      <c r="C357" s="145"/>
      <c r="D357" s="145"/>
      <c r="E357" s="77"/>
      <c r="F357" s="77"/>
      <c r="G357" s="235"/>
    </row>
    <row r="358" spans="1:7" hidden="1">
      <c r="B358" s="86"/>
      <c r="C358" s="144" t="s">
        <v>328</v>
      </c>
      <c r="D358" s="77"/>
      <c r="E358" s="72">
        <v>0</v>
      </c>
      <c r="F358" s="77" t="s">
        <v>301</v>
      </c>
      <c r="G358" s="235"/>
    </row>
    <row r="359" spans="1:7" hidden="1">
      <c r="B359" s="86"/>
      <c r="C359" s="144" t="s">
        <v>329</v>
      </c>
      <c r="D359" s="145"/>
      <c r="E359" s="21">
        <f>'DADOS DE ENTRADA'!E68</f>
        <v>0</v>
      </c>
      <c r="F359" s="77" t="s">
        <v>229</v>
      </c>
      <c r="G359" s="235"/>
    </row>
    <row r="360" spans="1:7" hidden="1">
      <c r="B360" s="165"/>
      <c r="C360" s="144" t="s">
        <v>326</v>
      </c>
      <c r="D360" s="145"/>
      <c r="E360" s="163" t="e">
        <f>D356</f>
        <v>#DIV/0!</v>
      </c>
      <c r="F360" s="164"/>
      <c r="G360" s="235"/>
    </row>
    <row r="361" spans="1:7" hidden="1">
      <c r="B361" s="165"/>
      <c r="C361" s="144" t="s">
        <v>327</v>
      </c>
      <c r="D361" s="145"/>
      <c r="E361" s="21" t="e">
        <f>E359*E360</f>
        <v>#DIV/0!</v>
      </c>
      <c r="F361" s="77" t="s">
        <v>229</v>
      </c>
      <c r="G361" s="235"/>
    </row>
    <row r="362" spans="1:7" hidden="1">
      <c r="B362" s="165"/>
      <c r="C362" s="149" t="s">
        <v>315</v>
      </c>
      <c r="D362" s="145"/>
      <c r="E362" s="166" t="e">
        <f>E361*E358</f>
        <v>#DIV/0!</v>
      </c>
      <c r="F362" s="77"/>
      <c r="G362" s="235"/>
    </row>
    <row r="363" spans="1:7">
      <c r="B363" s="165"/>
      <c r="C363" s="149"/>
      <c r="D363" s="145"/>
      <c r="E363" s="145"/>
      <c r="F363" s="167"/>
      <c r="G363" s="235"/>
    </row>
    <row r="364" spans="1:7">
      <c r="B364" s="86"/>
      <c r="C364" s="17"/>
      <c r="D364" s="84" t="s">
        <v>330</v>
      </c>
      <c r="E364" s="76">
        <f>E348</f>
        <v>108503.90442666666</v>
      </c>
      <c r="F364" s="77" t="s">
        <v>229</v>
      </c>
      <c r="G364" s="235"/>
    </row>
    <row r="365" spans="1:7">
      <c r="B365" s="86"/>
      <c r="C365" s="16"/>
      <c r="D365" s="344" t="s">
        <v>293</v>
      </c>
      <c r="E365" s="171">
        <f>E9*E364</f>
        <v>1302046.8531199999</v>
      </c>
      <c r="F365" s="77" t="s">
        <v>229</v>
      </c>
      <c r="G365" s="235"/>
    </row>
    <row r="366" spans="1:7">
      <c r="B366" s="153"/>
      <c r="C366" s="19"/>
      <c r="D366" s="19"/>
      <c r="E366" s="19"/>
      <c r="F366" s="80"/>
      <c r="G366" s="235"/>
    </row>
    <row r="367" spans="1:7">
      <c r="A367" s="52"/>
      <c r="B367" s="350" t="s">
        <v>331</v>
      </c>
      <c r="C367" s="19"/>
      <c r="D367" s="19"/>
      <c r="E367" s="19"/>
      <c r="F367" s="93"/>
      <c r="G367" s="23"/>
    </row>
    <row r="368" spans="1:7">
      <c r="A368" s="91"/>
      <c r="B368" s="78"/>
      <c r="C368" s="19"/>
      <c r="D368" s="79" t="s">
        <v>332</v>
      </c>
      <c r="E368" s="237">
        <v>140</v>
      </c>
      <c r="F368" s="77" t="s">
        <v>229</v>
      </c>
      <c r="G368" s="23"/>
    </row>
    <row r="369" spans="1:7">
      <c r="A369" s="91"/>
      <c r="B369" s="78"/>
      <c r="C369" s="19"/>
      <c r="D369" s="79" t="s">
        <v>333</v>
      </c>
      <c r="E369" s="237">
        <v>22.78</v>
      </c>
      <c r="F369" s="77" t="s">
        <v>229</v>
      </c>
      <c r="G369" s="23"/>
    </row>
    <row r="370" spans="1:7">
      <c r="A370" s="91"/>
      <c r="B370" s="78"/>
      <c r="C370" s="19"/>
      <c r="D370" s="19"/>
      <c r="E370" s="19"/>
      <c r="F370" s="93"/>
      <c r="G370" s="23"/>
    </row>
    <row r="371" spans="1:7">
      <c r="A371" s="91"/>
      <c r="B371" s="78"/>
      <c r="C371" s="144" t="s">
        <v>325</v>
      </c>
      <c r="D371" s="145"/>
      <c r="E371" s="72">
        <f>E316</f>
        <v>15</v>
      </c>
      <c r="F371" s="77" t="s">
        <v>301</v>
      </c>
      <c r="G371" s="23"/>
    </row>
    <row r="372" spans="1:7">
      <c r="A372" s="91"/>
      <c r="B372" s="78"/>
      <c r="C372" s="144" t="s">
        <v>302</v>
      </c>
      <c r="D372" s="145"/>
      <c r="E372" s="21">
        <f>E317</f>
        <v>580706</v>
      </c>
      <c r="F372" s="77" t="s">
        <v>229</v>
      </c>
      <c r="G372" s="23"/>
    </row>
    <row r="373" spans="1:7">
      <c r="A373" s="91"/>
      <c r="B373" s="78"/>
      <c r="C373" s="144" t="s">
        <v>334</v>
      </c>
      <c r="D373" s="397">
        <v>0.05</v>
      </c>
      <c r="E373" s="193">
        <f>E372*D373</f>
        <v>29035.300000000003</v>
      </c>
      <c r="F373" s="351" t="s">
        <v>335</v>
      </c>
      <c r="G373" s="23"/>
    </row>
    <row r="374" spans="1:7">
      <c r="A374" s="91"/>
      <c r="B374" s="78"/>
      <c r="C374" s="144" t="s">
        <v>336</v>
      </c>
      <c r="D374" s="397">
        <v>0.01</v>
      </c>
      <c r="E374" s="193">
        <f>E372*D374</f>
        <v>5807.06</v>
      </c>
      <c r="F374" s="351" t="s">
        <v>335</v>
      </c>
      <c r="G374" s="23"/>
    </row>
    <row r="375" spans="1:7">
      <c r="A375" s="91"/>
      <c r="B375" s="78"/>
      <c r="C375" s="144" t="s">
        <v>337</v>
      </c>
      <c r="D375" s="145"/>
      <c r="E375" s="76">
        <f>E373+E374+E368+E369</f>
        <v>35005.14</v>
      </c>
      <c r="F375" s="351" t="s">
        <v>335</v>
      </c>
      <c r="G375" s="23"/>
    </row>
    <row r="376" spans="1:7">
      <c r="A376" s="91"/>
      <c r="B376" s="78"/>
      <c r="C376" s="144" t="s">
        <v>338</v>
      </c>
      <c r="D376" s="145"/>
      <c r="E376" s="171">
        <f>E375*E371</f>
        <v>525077.1</v>
      </c>
      <c r="F376" s="351" t="s">
        <v>335</v>
      </c>
      <c r="G376" s="23"/>
    </row>
    <row r="377" spans="1:7">
      <c r="A377" s="91"/>
      <c r="B377" s="78"/>
      <c r="C377" s="19"/>
      <c r="D377" s="19"/>
      <c r="E377" s="19"/>
      <c r="F377" s="93"/>
      <c r="G377" s="23"/>
    </row>
    <row r="378" spans="1:7">
      <c r="A378" s="91"/>
      <c r="B378" s="78"/>
      <c r="C378" s="19"/>
      <c r="D378" s="84" t="s">
        <v>339</v>
      </c>
      <c r="E378" s="76">
        <f>ROUND((E376)/12,2)</f>
        <v>43756.43</v>
      </c>
      <c r="F378" s="77" t="s">
        <v>340</v>
      </c>
      <c r="G378" s="23"/>
    </row>
    <row r="379" spans="1:7">
      <c r="A379" s="91"/>
      <c r="B379" s="78"/>
      <c r="C379" s="19"/>
      <c r="D379" s="344" t="s">
        <v>341</v>
      </c>
      <c r="E379" s="171">
        <f>E9*E378</f>
        <v>525077.16</v>
      </c>
      <c r="F379" s="77" t="s">
        <v>229</v>
      </c>
      <c r="G379" s="23"/>
    </row>
    <row r="380" spans="1:7">
      <c r="A380" s="91"/>
      <c r="B380" s="78"/>
      <c r="C380" s="19"/>
      <c r="D380" s="19"/>
      <c r="E380" s="19"/>
      <c r="F380" s="93"/>
      <c r="G380" s="23"/>
    </row>
    <row r="381" spans="1:7">
      <c r="A381" s="52"/>
      <c r="B381" s="350" t="s">
        <v>342</v>
      </c>
      <c r="C381" s="19"/>
      <c r="D381" s="19"/>
      <c r="E381" s="19"/>
      <c r="F381" s="93"/>
      <c r="G381" s="23"/>
    </row>
    <row r="382" spans="1:7">
      <c r="A382" s="52"/>
      <c r="B382" s="350"/>
      <c r="C382" s="19"/>
      <c r="D382" s="19"/>
      <c r="E382" s="19"/>
      <c r="F382" s="93"/>
      <c r="G382" s="23"/>
    </row>
    <row r="383" spans="1:7">
      <c r="A383" s="52"/>
      <c r="B383" s="86"/>
      <c r="C383" s="19"/>
      <c r="D383" s="19"/>
      <c r="E383" s="19"/>
      <c r="F383" s="93"/>
      <c r="G383" s="23"/>
    </row>
    <row r="384" spans="1:7">
      <c r="A384" s="52"/>
      <c r="B384" s="86"/>
      <c r="C384" s="144" t="s">
        <v>616</v>
      </c>
      <c r="D384" s="145"/>
      <c r="E384" s="72">
        <f>E344</f>
        <v>16</v>
      </c>
      <c r="F384" s="77" t="s">
        <v>301</v>
      </c>
      <c r="G384" s="23"/>
    </row>
    <row r="385" spans="1:7">
      <c r="A385" s="52"/>
      <c r="B385" s="86"/>
      <c r="C385" s="144" t="s">
        <v>303</v>
      </c>
      <c r="D385" s="145"/>
      <c r="E385" s="168">
        <f>E319+E305</f>
        <v>1150706</v>
      </c>
      <c r="F385" s="77" t="s">
        <v>229</v>
      </c>
      <c r="G385" s="23"/>
    </row>
    <row r="386" spans="1:7">
      <c r="A386" s="52"/>
      <c r="B386" s="86"/>
      <c r="C386" s="144" t="s">
        <v>304</v>
      </c>
      <c r="D386" s="145"/>
      <c r="E386" s="168">
        <f>E307</f>
        <v>5</v>
      </c>
      <c r="F386" s="351" t="s">
        <v>305</v>
      </c>
      <c r="G386" s="23"/>
    </row>
    <row r="387" spans="1:7">
      <c r="A387" s="52"/>
      <c r="B387" s="86"/>
      <c r="C387" s="144" t="s">
        <v>343</v>
      </c>
      <c r="D387" s="145"/>
      <c r="E387" s="168">
        <v>0.6</v>
      </c>
      <c r="F387" s="164"/>
      <c r="G387" s="23"/>
    </row>
    <row r="388" spans="1:7">
      <c r="A388" s="52"/>
      <c r="B388" s="86"/>
      <c r="C388" s="144" t="s">
        <v>344</v>
      </c>
      <c r="D388" s="145"/>
      <c r="E388" s="169">
        <v>2504.64</v>
      </c>
      <c r="F388" s="351" t="s">
        <v>345</v>
      </c>
      <c r="G388" s="23"/>
    </row>
    <row r="389" spans="1:7">
      <c r="A389" s="52"/>
      <c r="B389" s="86"/>
      <c r="C389" s="149" t="s">
        <v>337</v>
      </c>
      <c r="D389" s="145"/>
      <c r="E389" s="76">
        <f>(E385*E387)/(E388*E386)</f>
        <v>55.131563817554621</v>
      </c>
      <c r="F389" s="77" t="s">
        <v>229</v>
      </c>
      <c r="G389" s="23"/>
    </row>
    <row r="390" spans="1:7">
      <c r="A390" s="52"/>
      <c r="B390" s="86"/>
      <c r="C390" s="149" t="s">
        <v>282</v>
      </c>
      <c r="D390" s="145"/>
      <c r="E390" s="76">
        <f>(E389*E388)/12</f>
        <v>11507.06</v>
      </c>
      <c r="F390" s="77" t="s">
        <v>229</v>
      </c>
      <c r="G390" s="23"/>
    </row>
    <row r="391" spans="1:7">
      <c r="A391" s="52"/>
      <c r="B391" s="86"/>
      <c r="C391" s="149" t="s">
        <v>727</v>
      </c>
      <c r="D391" s="145"/>
      <c r="E391" s="76">
        <f>E390*E384</f>
        <v>184112.96</v>
      </c>
      <c r="F391" s="77" t="s">
        <v>229</v>
      </c>
      <c r="G391" s="23"/>
    </row>
    <row r="392" spans="1:7">
      <c r="A392" s="52"/>
      <c r="B392" s="86"/>
      <c r="C392" s="19"/>
      <c r="D392" s="19"/>
      <c r="E392" s="19"/>
      <c r="F392" s="93"/>
      <c r="G392" s="23"/>
    </row>
    <row r="393" spans="1:7" hidden="1">
      <c r="A393" s="52"/>
      <c r="B393" s="350" t="s">
        <v>542</v>
      </c>
      <c r="C393" s="19"/>
      <c r="D393" s="19"/>
      <c r="E393" s="19"/>
      <c r="F393" s="93"/>
      <c r="G393" s="23"/>
    </row>
    <row r="394" spans="1:7" hidden="1">
      <c r="A394" s="52"/>
      <c r="B394" s="86"/>
      <c r="C394" s="19"/>
      <c r="D394" s="19"/>
      <c r="E394" s="19"/>
      <c r="F394" s="93"/>
      <c r="G394" s="23"/>
    </row>
    <row r="395" spans="1:7" hidden="1">
      <c r="A395" s="52"/>
      <c r="B395" s="86"/>
      <c r="C395" s="144" t="s">
        <v>328</v>
      </c>
      <c r="D395" s="145"/>
      <c r="E395" s="72">
        <v>0</v>
      </c>
      <c r="F395" s="77" t="s">
        <v>301</v>
      </c>
      <c r="G395" s="23"/>
    </row>
    <row r="396" spans="1:7" hidden="1">
      <c r="A396" s="52"/>
      <c r="B396" s="86"/>
      <c r="C396" s="144" t="s">
        <v>303</v>
      </c>
      <c r="D396" s="145"/>
      <c r="E396" s="168">
        <v>0</v>
      </c>
      <c r="F396" s="77" t="s">
        <v>229</v>
      </c>
      <c r="G396" s="23"/>
    </row>
    <row r="397" spans="1:7" hidden="1">
      <c r="A397" s="52"/>
      <c r="B397" s="86"/>
      <c r="C397" s="144" t="s">
        <v>304</v>
      </c>
      <c r="D397" s="145"/>
      <c r="E397" s="168">
        <v>5</v>
      </c>
      <c r="F397" s="351" t="s">
        <v>305</v>
      </c>
      <c r="G397" s="23"/>
    </row>
    <row r="398" spans="1:7" hidden="1">
      <c r="A398" s="52"/>
      <c r="B398" s="86"/>
      <c r="C398" s="144" t="s">
        <v>343</v>
      </c>
      <c r="D398" s="145"/>
      <c r="E398" s="168">
        <v>0.6</v>
      </c>
      <c r="F398" s="164"/>
      <c r="G398" s="23"/>
    </row>
    <row r="399" spans="1:7" hidden="1">
      <c r="A399" s="52"/>
      <c r="B399" s="86"/>
      <c r="C399" s="144" t="s">
        <v>344</v>
      </c>
      <c r="D399" s="145"/>
      <c r="E399" s="147">
        <v>8766</v>
      </c>
      <c r="F399" s="351" t="s">
        <v>345</v>
      </c>
      <c r="G399" s="23"/>
    </row>
    <row r="400" spans="1:7" hidden="1">
      <c r="A400" s="52"/>
      <c r="B400" s="86"/>
      <c r="C400" s="149" t="s">
        <v>337</v>
      </c>
      <c r="D400" s="145"/>
      <c r="E400" s="76">
        <f>(E396*E398)/(E399*E397)</f>
        <v>0</v>
      </c>
      <c r="F400" s="77" t="s">
        <v>229</v>
      </c>
      <c r="G400" s="23"/>
    </row>
    <row r="401" spans="1:7" hidden="1">
      <c r="A401" s="52"/>
      <c r="B401" s="86"/>
      <c r="C401" s="149" t="s">
        <v>282</v>
      </c>
      <c r="D401" s="145"/>
      <c r="E401" s="76">
        <f>E400*E399/12</f>
        <v>0</v>
      </c>
      <c r="F401" s="77" t="s">
        <v>229</v>
      </c>
      <c r="G401" s="23"/>
    </row>
    <row r="402" spans="1:7" hidden="1">
      <c r="A402" s="52"/>
      <c r="B402" s="86"/>
      <c r="C402" s="149" t="s">
        <v>315</v>
      </c>
      <c r="D402" s="145"/>
      <c r="E402" s="76">
        <f>E401*E395</f>
        <v>0</v>
      </c>
      <c r="F402" s="77" t="s">
        <v>229</v>
      </c>
      <c r="G402" s="23"/>
    </row>
    <row r="403" spans="1:7">
      <c r="A403" s="52"/>
      <c r="B403" s="86"/>
      <c r="C403" s="19"/>
      <c r="D403" s="19"/>
      <c r="E403" s="19"/>
      <c r="F403" s="93"/>
      <c r="G403" s="23"/>
    </row>
    <row r="404" spans="1:7">
      <c r="A404" s="52"/>
      <c r="B404" s="86"/>
      <c r="C404" s="19"/>
      <c r="D404" s="84" t="s">
        <v>346</v>
      </c>
      <c r="E404" s="76">
        <f>E391+E402</f>
        <v>184112.96</v>
      </c>
      <c r="F404" s="77" t="s">
        <v>229</v>
      </c>
      <c r="G404" s="23"/>
    </row>
    <row r="405" spans="1:7">
      <c r="A405" s="52"/>
      <c r="B405" s="86"/>
      <c r="C405" s="19"/>
      <c r="D405" s="344" t="s">
        <v>347</v>
      </c>
      <c r="E405" s="171">
        <f>E9*E404</f>
        <v>2209355.52</v>
      </c>
      <c r="F405" s="77" t="s">
        <v>229</v>
      </c>
      <c r="G405" s="23"/>
    </row>
    <row r="406" spans="1:7">
      <c r="A406" s="52"/>
      <c r="B406" s="86"/>
      <c r="C406" s="19"/>
      <c r="D406" s="19"/>
      <c r="E406" s="19"/>
      <c r="F406" s="93"/>
      <c r="G406" s="23"/>
    </row>
    <row r="407" spans="1:7" hidden="1">
      <c r="A407" s="52"/>
      <c r="B407" s="350" t="s">
        <v>533</v>
      </c>
      <c r="C407" s="19"/>
      <c r="D407" s="19"/>
      <c r="E407" s="19"/>
      <c r="F407" s="93"/>
      <c r="G407" s="23"/>
    </row>
    <row r="408" spans="1:7" hidden="1">
      <c r="A408" s="52"/>
      <c r="B408" s="86"/>
      <c r="C408" s="144" t="s">
        <v>325</v>
      </c>
      <c r="D408" s="145"/>
      <c r="E408" s="72">
        <f>E56</f>
        <v>11</v>
      </c>
      <c r="F408" s="77" t="s">
        <v>301</v>
      </c>
      <c r="G408" s="23"/>
    </row>
    <row r="409" spans="1:7" hidden="1">
      <c r="A409" s="52"/>
      <c r="B409" s="86"/>
      <c r="C409" s="144" t="s">
        <v>303</v>
      </c>
      <c r="D409" s="145"/>
      <c r="E409" s="168">
        <f>E334</f>
        <v>0</v>
      </c>
      <c r="F409" s="77" t="s">
        <v>229</v>
      </c>
      <c r="G409" s="23"/>
    </row>
    <row r="410" spans="1:7" hidden="1">
      <c r="A410" s="52"/>
      <c r="B410" s="86"/>
      <c r="C410" s="144" t="s">
        <v>304</v>
      </c>
      <c r="D410" s="145"/>
      <c r="E410" s="168">
        <f>E335</f>
        <v>0</v>
      </c>
      <c r="F410" s="351" t="s">
        <v>305</v>
      </c>
      <c r="G410" s="23"/>
    </row>
    <row r="411" spans="1:7" hidden="1">
      <c r="A411" s="52"/>
      <c r="B411" s="86"/>
      <c r="C411" s="144" t="s">
        <v>343</v>
      </c>
      <c r="D411" s="145"/>
      <c r="E411" s="168">
        <v>0.4</v>
      </c>
      <c r="F411" s="164"/>
      <c r="G411" s="23"/>
    </row>
    <row r="412" spans="1:7" hidden="1">
      <c r="A412" s="52"/>
      <c r="B412" s="86"/>
      <c r="C412" s="144" t="s">
        <v>344</v>
      </c>
      <c r="D412" s="145"/>
      <c r="E412" s="169">
        <v>2504.64</v>
      </c>
      <c r="F412" s="351" t="s">
        <v>345</v>
      </c>
      <c r="G412" s="23"/>
    </row>
    <row r="413" spans="1:7" hidden="1">
      <c r="A413" s="52"/>
      <c r="B413" s="86"/>
      <c r="C413" s="149" t="s">
        <v>337</v>
      </c>
      <c r="D413" s="145"/>
      <c r="E413" s="76" t="e">
        <f>(E409*E411)/(E412*E410)</f>
        <v>#DIV/0!</v>
      </c>
      <c r="F413" s="77" t="s">
        <v>229</v>
      </c>
      <c r="G413" s="23"/>
    </row>
    <row r="414" spans="1:7" hidden="1">
      <c r="A414" s="52"/>
      <c r="B414" s="86"/>
      <c r="C414" s="149" t="s">
        <v>282</v>
      </c>
      <c r="D414" s="145"/>
      <c r="E414" s="76" t="e">
        <f>E413*E412/12</f>
        <v>#DIV/0!</v>
      </c>
      <c r="F414" s="77" t="s">
        <v>229</v>
      </c>
      <c r="G414" s="23"/>
    </row>
    <row r="415" spans="1:7" hidden="1">
      <c r="A415" s="52"/>
      <c r="B415" s="86"/>
      <c r="C415" s="149" t="s">
        <v>338</v>
      </c>
      <c r="D415" s="145"/>
      <c r="E415" s="76" t="e">
        <f>E414*E408</f>
        <v>#DIV/0!</v>
      </c>
      <c r="F415" s="77" t="s">
        <v>229</v>
      </c>
      <c r="G415" s="23"/>
    </row>
    <row r="416" spans="1:7" hidden="1">
      <c r="A416" s="52"/>
      <c r="B416" s="86"/>
      <c r="C416" s="19"/>
      <c r="D416" s="19"/>
      <c r="E416" s="19"/>
      <c r="F416" s="93"/>
      <c r="G416" s="23"/>
    </row>
    <row r="417" spans="1:7" hidden="1">
      <c r="A417" s="52"/>
      <c r="B417" s="86"/>
      <c r="C417" s="19"/>
      <c r="D417" s="84" t="s">
        <v>534</v>
      </c>
      <c r="E417" s="76" t="e">
        <f>E415+#REF!</f>
        <v>#DIV/0!</v>
      </c>
      <c r="F417" s="77" t="s">
        <v>229</v>
      </c>
      <c r="G417" s="23"/>
    </row>
    <row r="418" spans="1:7" hidden="1">
      <c r="A418" s="52"/>
      <c r="B418" s="86"/>
      <c r="C418" s="19"/>
      <c r="D418" s="344" t="s">
        <v>535</v>
      </c>
      <c r="E418" s="171" t="e">
        <f>E34*E417</f>
        <v>#DIV/0!</v>
      </c>
      <c r="F418" s="77" t="s">
        <v>229</v>
      </c>
      <c r="G418" s="23"/>
    </row>
    <row r="419" spans="1:7" hidden="1">
      <c r="A419" s="52"/>
      <c r="B419" s="86"/>
      <c r="C419" s="19"/>
      <c r="D419" s="19"/>
      <c r="E419" s="19"/>
      <c r="F419" s="93"/>
      <c r="G419" s="23"/>
    </row>
    <row r="420" spans="1:7" hidden="1">
      <c r="A420" s="52"/>
      <c r="B420" s="86"/>
      <c r="C420" s="19"/>
      <c r="D420" s="84" t="s">
        <v>346</v>
      </c>
      <c r="E420" s="76" t="e">
        <f>E417+E404</f>
        <v>#DIV/0!</v>
      </c>
      <c r="F420" s="77" t="s">
        <v>229</v>
      </c>
      <c r="G420" s="23"/>
    </row>
    <row r="421" spans="1:7" hidden="1">
      <c r="A421" s="52"/>
      <c r="B421" s="86"/>
      <c r="C421" s="19"/>
      <c r="D421" s="344" t="s">
        <v>347</v>
      </c>
      <c r="E421" s="171" t="e">
        <f>E418+E405</f>
        <v>#DIV/0!</v>
      </c>
      <c r="F421" s="77" t="s">
        <v>229</v>
      </c>
      <c r="G421" s="23"/>
    </row>
    <row r="422" spans="1:7" hidden="1">
      <c r="A422" s="52"/>
      <c r="B422" s="86"/>
      <c r="C422" s="19"/>
      <c r="D422" s="19"/>
      <c r="E422" s="19"/>
      <c r="F422" s="93"/>
      <c r="G422" s="23"/>
    </row>
    <row r="423" spans="1:7">
      <c r="A423" s="52"/>
      <c r="B423" s="350" t="s">
        <v>348</v>
      </c>
      <c r="C423" s="19"/>
      <c r="D423" s="19"/>
      <c r="E423" s="19"/>
      <c r="F423" s="93"/>
      <c r="G423" s="23"/>
    </row>
    <row r="424" spans="1:7">
      <c r="A424" s="52"/>
      <c r="B424" s="165"/>
      <c r="C424" s="144" t="s">
        <v>626</v>
      </c>
      <c r="D424" s="145"/>
      <c r="E424" s="72">
        <f>E384</f>
        <v>16</v>
      </c>
      <c r="F424" s="77" t="s">
        <v>301</v>
      </c>
      <c r="G424" s="23"/>
    </row>
    <row r="425" spans="1:7">
      <c r="A425" s="52"/>
      <c r="B425" s="86"/>
      <c r="C425" s="149" t="s">
        <v>349</v>
      </c>
      <c r="D425" s="145"/>
      <c r="E425" s="72">
        <v>314.66666666666669</v>
      </c>
      <c r="F425" s="77" t="s">
        <v>229</v>
      </c>
      <c r="G425" s="23"/>
    </row>
    <row r="426" spans="1:7">
      <c r="A426" s="52"/>
      <c r="B426" s="86"/>
      <c r="C426" s="149" t="s">
        <v>350</v>
      </c>
      <c r="D426" s="145"/>
      <c r="E426" s="72">
        <v>230</v>
      </c>
      <c r="F426" s="77" t="s">
        <v>229</v>
      </c>
      <c r="G426" s="23"/>
    </row>
    <row r="427" spans="1:7">
      <c r="A427" s="52"/>
      <c r="B427" s="86"/>
      <c r="C427" s="149" t="s">
        <v>728</v>
      </c>
      <c r="D427" s="145"/>
      <c r="E427" s="76">
        <f>(E424*E426)+E425</f>
        <v>3994.6666666666665</v>
      </c>
      <c r="F427" s="77" t="s">
        <v>229</v>
      </c>
      <c r="G427" s="23"/>
    </row>
    <row r="428" spans="1:7">
      <c r="A428" s="52"/>
      <c r="B428" s="86"/>
      <c r="C428" s="149"/>
      <c r="D428" s="145"/>
      <c r="E428" s="253"/>
      <c r="F428" s="77"/>
      <c r="G428" s="23"/>
    </row>
    <row r="429" spans="1:7">
      <c r="A429" s="52"/>
      <c r="B429" s="86"/>
      <c r="C429" s="149"/>
      <c r="D429" s="84" t="s">
        <v>351</v>
      </c>
      <c r="E429" s="76">
        <f>E427</f>
        <v>3994.6666666666665</v>
      </c>
      <c r="F429" s="77" t="s">
        <v>229</v>
      </c>
      <c r="G429" s="23"/>
    </row>
    <row r="430" spans="1:7">
      <c r="A430" s="52"/>
      <c r="B430" s="86"/>
      <c r="C430" s="149"/>
      <c r="D430" s="344" t="s">
        <v>352</v>
      </c>
      <c r="E430" s="171">
        <f>E429*E9</f>
        <v>47936</v>
      </c>
      <c r="F430" s="77" t="s">
        <v>229</v>
      </c>
      <c r="G430" s="183"/>
    </row>
    <row r="431" spans="1:7">
      <c r="A431" s="52"/>
      <c r="B431" s="86"/>
      <c r="C431" s="149"/>
      <c r="D431" s="145"/>
      <c r="E431" s="19"/>
      <c r="F431" s="77"/>
      <c r="G431" s="23"/>
    </row>
    <row r="432" spans="1:7">
      <c r="A432" s="34"/>
      <c r="B432" s="86"/>
      <c r="C432" s="16" t="s">
        <v>353</v>
      </c>
      <c r="D432" s="74"/>
      <c r="E432" s="19"/>
      <c r="F432" s="93"/>
      <c r="G432" s="23"/>
    </row>
    <row r="433" spans="1:7">
      <c r="A433" s="52"/>
      <c r="B433" s="143"/>
      <c r="C433" s="17"/>
      <c r="D433" s="344" t="s">
        <v>354</v>
      </c>
      <c r="E433" s="172">
        <f>+E329+E364+E378+E404+E429</f>
        <v>550804.06776000001</v>
      </c>
      <c r="F433" s="77" t="s">
        <v>229</v>
      </c>
      <c r="G433" s="23"/>
    </row>
    <row r="434" spans="1:7" ht="12" thickBot="1">
      <c r="A434" s="52"/>
      <c r="B434" s="174"/>
      <c r="C434" s="25"/>
      <c r="D434" s="353" t="s">
        <v>355</v>
      </c>
      <c r="E434" s="172">
        <f>E9*E433</f>
        <v>6609648.8131200001</v>
      </c>
      <c r="F434" s="175" t="s">
        <v>229</v>
      </c>
      <c r="G434" s="29"/>
    </row>
    <row r="435" spans="1:7">
      <c r="B435" s="3"/>
      <c r="D435" s="40"/>
      <c r="F435" s="100"/>
    </row>
    <row r="436" spans="1:7">
      <c r="A436" s="783" t="s">
        <v>356</v>
      </c>
      <c r="B436" s="772"/>
      <c r="C436" s="772"/>
      <c r="D436" s="772"/>
      <c r="E436" s="772"/>
      <c r="F436" s="772"/>
      <c r="G436" s="772"/>
    </row>
    <row r="437" spans="1:7" ht="12" thickBot="1"/>
    <row r="438" spans="1:7">
      <c r="A438" s="52"/>
      <c r="B438" s="349" t="s">
        <v>357</v>
      </c>
      <c r="C438" s="13"/>
      <c r="D438" s="13"/>
      <c r="E438" s="13"/>
      <c r="F438" s="140"/>
      <c r="G438" s="14"/>
    </row>
    <row r="439" spans="1:7">
      <c r="A439" s="52"/>
      <c r="B439" s="86"/>
      <c r="C439" s="19"/>
      <c r="D439" s="19"/>
      <c r="E439" s="19"/>
      <c r="F439" s="93"/>
      <c r="G439" s="23"/>
    </row>
    <row r="440" spans="1:7">
      <c r="A440" s="52"/>
      <c r="B440" s="86"/>
      <c r="C440" s="144" t="s">
        <v>325</v>
      </c>
      <c r="D440" s="145"/>
      <c r="E440" s="72">
        <f>E371</f>
        <v>15</v>
      </c>
      <c r="F440" s="93"/>
      <c r="G440" s="23"/>
    </row>
    <row r="441" spans="1:7">
      <c r="A441" s="52"/>
      <c r="B441" s="86"/>
      <c r="C441" s="354" t="s">
        <v>487</v>
      </c>
      <c r="D441" s="145"/>
      <c r="E441" s="176">
        <v>6.59</v>
      </c>
      <c r="F441" s="77" t="s">
        <v>359</v>
      </c>
      <c r="G441" s="23"/>
    </row>
    <row r="442" spans="1:7">
      <c r="A442" s="52"/>
      <c r="B442" s="86"/>
      <c r="C442" s="144" t="s">
        <v>360</v>
      </c>
      <c r="D442" s="145"/>
      <c r="E442" s="169">
        <f>E11</f>
        <v>73485.035999999993</v>
      </c>
      <c r="F442" s="77" t="s">
        <v>361</v>
      </c>
      <c r="G442" s="23"/>
    </row>
    <row r="443" spans="1:7" ht="12.75" customHeight="1">
      <c r="A443" s="52"/>
      <c r="B443" s="86"/>
      <c r="C443" s="354" t="s">
        <v>362</v>
      </c>
      <c r="D443" s="145"/>
      <c r="E443" s="72">
        <v>1.8</v>
      </c>
      <c r="F443" s="77" t="s">
        <v>363</v>
      </c>
      <c r="G443" s="23"/>
    </row>
    <row r="444" spans="1:7" ht="12.75" customHeight="1">
      <c r="A444" s="52"/>
      <c r="B444" s="86"/>
      <c r="C444" s="149" t="s">
        <v>337</v>
      </c>
      <c r="D444" s="84"/>
      <c r="E444" s="172">
        <f>((E441*E442)/E443)/E440</f>
        <v>17935.792119999998</v>
      </c>
      <c r="F444" s="77" t="s">
        <v>229</v>
      </c>
      <c r="G444" s="23"/>
    </row>
    <row r="445" spans="1:7" ht="12.75" customHeight="1">
      <c r="A445" s="52"/>
      <c r="B445" s="86"/>
      <c r="C445" s="354" t="s">
        <v>364</v>
      </c>
      <c r="D445" s="84"/>
      <c r="E445" s="172">
        <f>E444*E440</f>
        <v>269036.88179999997</v>
      </c>
      <c r="F445" s="77" t="s">
        <v>229</v>
      </c>
      <c r="G445" s="23"/>
    </row>
    <row r="446" spans="1:7" ht="12.75" customHeight="1">
      <c r="A446" s="52"/>
      <c r="B446" s="86"/>
      <c r="C446" s="19"/>
      <c r="D446" s="19"/>
      <c r="E446" s="19"/>
      <c r="F446" s="93"/>
      <c r="G446" s="23"/>
    </row>
    <row r="447" spans="1:7" ht="12.75" customHeight="1">
      <c r="A447" s="52"/>
      <c r="B447" s="86"/>
      <c r="C447" s="144" t="s">
        <v>723</v>
      </c>
      <c r="D447" s="145"/>
      <c r="E447" s="72">
        <v>1</v>
      </c>
      <c r="F447" s="93"/>
      <c r="G447" s="23"/>
    </row>
    <row r="448" spans="1:7" ht="12.75" customHeight="1">
      <c r="A448" s="52"/>
      <c r="B448" s="86"/>
      <c r="C448" s="354" t="s">
        <v>487</v>
      </c>
      <c r="D448" s="145"/>
      <c r="E448" s="176">
        <v>6.59</v>
      </c>
      <c r="F448" s="77" t="s">
        <v>359</v>
      </c>
      <c r="G448" s="23"/>
    </row>
    <row r="449" spans="1:7" ht="12.75" customHeight="1">
      <c r="A449" s="52"/>
      <c r="B449" s="86"/>
      <c r="C449" s="144" t="s">
        <v>360</v>
      </c>
      <c r="D449" s="145"/>
      <c r="E449" s="169">
        <v>208.64</v>
      </c>
      <c r="F449" s="77" t="s">
        <v>730</v>
      </c>
      <c r="G449" s="23"/>
    </row>
    <row r="450" spans="1:7" ht="12.75" customHeight="1">
      <c r="A450" s="52"/>
      <c r="B450" s="86"/>
      <c r="C450" s="354" t="s">
        <v>362</v>
      </c>
      <c r="D450" s="145"/>
      <c r="E450" s="72">
        <v>5.5</v>
      </c>
      <c r="F450" s="77" t="s">
        <v>729</v>
      </c>
      <c r="G450" s="23"/>
    </row>
    <row r="451" spans="1:7" ht="12.75" customHeight="1">
      <c r="A451" s="52"/>
      <c r="B451" s="86"/>
      <c r="C451" s="149" t="s">
        <v>337</v>
      </c>
      <c r="D451" s="84"/>
      <c r="E451" s="172">
        <f>E450*E449*E448</f>
        <v>7562.1567999999997</v>
      </c>
      <c r="F451" s="77" t="s">
        <v>229</v>
      </c>
      <c r="G451" s="23"/>
    </row>
    <row r="452" spans="1:7" ht="12.75" customHeight="1">
      <c r="A452" s="52"/>
      <c r="B452" s="86"/>
      <c r="C452" s="354" t="s">
        <v>731</v>
      </c>
      <c r="D452" s="84"/>
      <c r="E452" s="172">
        <f>E447*E451</f>
        <v>7562.1567999999997</v>
      </c>
      <c r="F452" s="77" t="s">
        <v>229</v>
      </c>
      <c r="G452" s="23"/>
    </row>
    <row r="453" spans="1:7" ht="12.75" customHeight="1">
      <c r="A453" s="52"/>
      <c r="B453" s="86"/>
      <c r="C453" s="19"/>
      <c r="D453" s="19"/>
      <c r="E453" s="19"/>
      <c r="F453" s="93"/>
      <c r="G453" s="23"/>
    </row>
    <row r="454" spans="1:7" ht="12.75" customHeight="1">
      <c r="A454" s="52"/>
      <c r="B454" s="86"/>
      <c r="C454" s="19"/>
      <c r="D454" s="84" t="s">
        <v>365</v>
      </c>
      <c r="E454" s="76">
        <f>E445+E452</f>
        <v>276599.03859999997</v>
      </c>
      <c r="F454" s="93"/>
      <c r="G454" s="23"/>
    </row>
    <row r="455" spans="1:7" ht="12.75" customHeight="1">
      <c r="A455" s="52"/>
      <c r="B455" s="86"/>
      <c r="C455" s="19"/>
      <c r="D455" s="344" t="s">
        <v>366</v>
      </c>
      <c r="E455" s="76">
        <f>E9*E454</f>
        <v>3319188.4631999996</v>
      </c>
      <c r="F455" s="93"/>
      <c r="G455" s="23"/>
    </row>
    <row r="456" spans="1:7" ht="12.75" customHeight="1">
      <c r="A456" s="52"/>
      <c r="B456" s="86"/>
      <c r="C456" s="19"/>
      <c r="D456" s="344"/>
      <c r="E456" s="344"/>
      <c r="F456" s="93"/>
      <c r="G456" s="23"/>
    </row>
    <row r="457" spans="1:7" ht="12.75" customHeight="1">
      <c r="A457" s="52"/>
      <c r="B457" s="86" t="s">
        <v>494</v>
      </c>
      <c r="C457" s="19"/>
      <c r="D457" s="344"/>
      <c r="E457" s="344"/>
      <c r="F457" s="93"/>
      <c r="G457" s="23"/>
    </row>
    <row r="458" spans="1:7" ht="12.75" customHeight="1">
      <c r="A458" s="52"/>
      <c r="B458" s="86"/>
      <c r="C458" s="144" t="s">
        <v>325</v>
      </c>
      <c r="D458" s="145"/>
      <c r="E458" s="72">
        <f>E440</f>
        <v>15</v>
      </c>
      <c r="F458" s="93"/>
      <c r="G458" s="23"/>
    </row>
    <row r="459" spans="1:7" ht="12.75" customHeight="1">
      <c r="A459" s="52"/>
      <c r="B459" s="86"/>
      <c r="C459" s="354" t="s">
        <v>495</v>
      </c>
      <c r="D459" s="145"/>
      <c r="E459" s="176">
        <v>17940</v>
      </c>
      <c r="F459" s="77" t="s">
        <v>229</v>
      </c>
      <c r="G459" s="23"/>
    </row>
    <row r="460" spans="1:7" ht="12.75" customHeight="1">
      <c r="A460" s="52"/>
      <c r="B460" s="86"/>
      <c r="C460" s="144" t="s">
        <v>360</v>
      </c>
      <c r="D460" s="145"/>
      <c r="E460" s="169">
        <f>E442+E449</f>
        <v>73693.675999999992</v>
      </c>
      <c r="F460" s="77" t="s">
        <v>361</v>
      </c>
      <c r="G460" s="23"/>
    </row>
    <row r="461" spans="1:7" ht="12.75" customHeight="1">
      <c r="A461" s="52"/>
      <c r="B461" s="86"/>
      <c r="C461" s="354" t="s">
        <v>496</v>
      </c>
      <c r="D461" s="145"/>
      <c r="E461" s="72">
        <v>40000</v>
      </c>
      <c r="F461" s="77" t="s">
        <v>498</v>
      </c>
      <c r="G461" s="23"/>
    </row>
    <row r="462" spans="1:7" ht="12.75" customHeight="1">
      <c r="A462" s="52"/>
      <c r="B462" s="86"/>
      <c r="C462" s="149" t="s">
        <v>497</v>
      </c>
      <c r="D462" s="84"/>
      <c r="E462" s="172">
        <f>((E459*E460)/E461)/E458</f>
        <v>2203.4409123999999</v>
      </c>
      <c r="F462" s="77" t="s">
        <v>229</v>
      </c>
      <c r="G462" s="23"/>
    </row>
    <row r="463" spans="1:7" ht="12.75" customHeight="1">
      <c r="A463" s="52"/>
      <c r="B463" s="86"/>
      <c r="C463" s="354" t="s">
        <v>364</v>
      </c>
      <c r="D463" s="84"/>
      <c r="E463" s="172">
        <f>E458*E462</f>
        <v>33051.613685999997</v>
      </c>
      <c r="F463" s="77" t="s">
        <v>229</v>
      </c>
      <c r="G463" s="23"/>
    </row>
    <row r="464" spans="1:7" ht="12.75" customHeight="1">
      <c r="A464" s="91"/>
      <c r="B464" s="86"/>
      <c r="C464" s="19"/>
      <c r="D464" s="19"/>
      <c r="E464" s="19"/>
      <c r="F464" s="93"/>
      <c r="G464" s="23"/>
    </row>
    <row r="465" spans="1:7" ht="12.75" customHeight="1">
      <c r="A465" s="91"/>
      <c r="B465" s="86"/>
      <c r="C465" s="19"/>
      <c r="D465" s="84" t="s">
        <v>393</v>
      </c>
      <c r="E465" s="76">
        <f>E463</f>
        <v>33051.613685999997</v>
      </c>
      <c r="F465" s="93"/>
      <c r="G465" s="23"/>
    </row>
    <row r="466" spans="1:7" ht="12.75" customHeight="1">
      <c r="A466" s="91"/>
      <c r="B466" s="86"/>
      <c r="C466" s="19"/>
      <c r="D466" s="344" t="s">
        <v>394</v>
      </c>
      <c r="E466" s="76">
        <f>E465*E9</f>
        <v>396619.36423199996</v>
      </c>
      <c r="F466" s="93"/>
      <c r="G466" s="23"/>
    </row>
    <row r="467" spans="1:7" ht="12.75" customHeight="1">
      <c r="A467" s="91"/>
      <c r="B467" s="86"/>
      <c r="C467" s="19"/>
      <c r="D467" s="93"/>
      <c r="E467" s="238"/>
      <c r="F467" s="116"/>
      <c r="G467" s="23"/>
    </row>
    <row r="468" spans="1:7" ht="12.75" customHeight="1">
      <c r="A468" s="52"/>
      <c r="B468" s="350" t="s">
        <v>499</v>
      </c>
      <c r="C468" s="19"/>
      <c r="D468" s="19"/>
      <c r="E468" s="19"/>
      <c r="F468" s="93"/>
      <c r="G468" s="23"/>
    </row>
    <row r="469" spans="1:7" ht="12.75" customHeight="1">
      <c r="B469" s="784" t="s">
        <v>367</v>
      </c>
      <c r="C469" s="785"/>
      <c r="D469" s="786"/>
      <c r="E469" s="142">
        <v>0.1</v>
      </c>
      <c r="F469" s="93"/>
      <c r="G469" s="23"/>
    </row>
    <row r="470" spans="1:7" ht="12.75" customHeight="1">
      <c r="B470" s="153"/>
      <c r="C470" s="19"/>
      <c r="D470" s="19"/>
      <c r="E470" s="77"/>
      <c r="F470" s="93"/>
      <c r="G470" s="23"/>
    </row>
    <row r="471" spans="1:7" ht="12.75" customHeight="1">
      <c r="B471" s="153"/>
      <c r="C471" s="144" t="s">
        <v>626</v>
      </c>
      <c r="D471" s="79"/>
      <c r="E471" s="72">
        <v>16</v>
      </c>
      <c r="F471" s="77"/>
      <c r="G471" s="23"/>
    </row>
    <row r="472" spans="1:7" ht="12.75" customHeight="1">
      <c r="B472" s="153"/>
      <c r="C472" s="149" t="s">
        <v>337</v>
      </c>
      <c r="D472" s="79"/>
      <c r="E472" s="76">
        <f>(E469*E404)/E471</f>
        <v>1150.7059999999999</v>
      </c>
      <c r="F472" s="77"/>
      <c r="G472" s="23"/>
    </row>
    <row r="473" spans="1:7" ht="12" customHeight="1">
      <c r="B473" s="153"/>
      <c r="C473" s="354" t="s">
        <v>364</v>
      </c>
      <c r="D473" s="79"/>
      <c r="E473" s="76">
        <f>E472*E471</f>
        <v>18411.295999999998</v>
      </c>
      <c r="F473" s="77"/>
      <c r="G473" s="23"/>
    </row>
    <row r="474" spans="1:7">
      <c r="B474" s="153"/>
      <c r="C474" s="19"/>
      <c r="D474" s="19"/>
      <c r="E474" s="77"/>
      <c r="F474" s="93"/>
      <c r="G474" s="23"/>
    </row>
    <row r="475" spans="1:7">
      <c r="B475" s="153"/>
      <c r="C475" s="354" t="s">
        <v>368</v>
      </c>
      <c r="D475" s="79"/>
      <c r="E475" s="168">
        <v>20</v>
      </c>
      <c r="F475" s="77" t="s">
        <v>369</v>
      </c>
      <c r="G475" s="23"/>
    </row>
    <row r="476" spans="1:7">
      <c r="B476" s="153"/>
      <c r="C476" s="354" t="s">
        <v>370</v>
      </c>
      <c r="D476" s="79"/>
      <c r="E476" s="399">
        <v>17</v>
      </c>
      <c r="F476" s="77" t="s">
        <v>369</v>
      </c>
      <c r="G476" s="23"/>
    </row>
    <row r="477" spans="1:7">
      <c r="B477" s="153"/>
      <c r="C477" s="354" t="s">
        <v>371</v>
      </c>
      <c r="D477" s="79"/>
      <c r="E477" s="168">
        <v>14</v>
      </c>
      <c r="F477" s="77" t="s">
        <v>369</v>
      </c>
      <c r="G477" s="23"/>
    </row>
    <row r="478" spans="1:7">
      <c r="B478" s="153"/>
      <c r="C478" s="354" t="s">
        <v>372</v>
      </c>
      <c r="D478" s="79"/>
      <c r="E478" s="399">
        <v>3.3</v>
      </c>
      <c r="F478" s="77" t="s">
        <v>373</v>
      </c>
      <c r="G478" s="23"/>
    </row>
    <row r="479" spans="1:7">
      <c r="B479" s="153"/>
      <c r="C479" s="144" t="s">
        <v>374</v>
      </c>
      <c r="D479" s="79"/>
      <c r="E479" s="168">
        <v>10000</v>
      </c>
      <c r="F479" s="77" t="s">
        <v>361</v>
      </c>
      <c r="G479" s="23"/>
    </row>
    <row r="480" spans="1:7">
      <c r="B480" s="153"/>
      <c r="C480" s="354" t="s">
        <v>375</v>
      </c>
      <c r="D480" s="79"/>
      <c r="E480" s="177">
        <f>+E475/E479</f>
        <v>2E-3</v>
      </c>
      <c r="F480" s="77" t="s">
        <v>376</v>
      </c>
      <c r="G480" s="23"/>
    </row>
    <row r="481" spans="1:7">
      <c r="B481" s="153"/>
      <c r="C481" s="354" t="s">
        <v>377</v>
      </c>
      <c r="D481" s="79"/>
      <c r="E481" s="177">
        <f>+E476/E479</f>
        <v>1.6999999999999999E-3</v>
      </c>
      <c r="F481" s="77" t="s">
        <v>376</v>
      </c>
      <c r="G481" s="23"/>
    </row>
    <row r="482" spans="1:7">
      <c r="B482" s="153"/>
      <c r="C482" s="354" t="s">
        <v>378</v>
      </c>
      <c r="D482" s="79"/>
      <c r="E482" s="177">
        <f>+E477/E479</f>
        <v>1.4E-3</v>
      </c>
      <c r="F482" s="77" t="s">
        <v>376</v>
      </c>
      <c r="G482" s="23"/>
    </row>
    <row r="483" spans="1:7">
      <c r="B483" s="153"/>
      <c r="C483" s="354" t="s">
        <v>379</v>
      </c>
      <c r="D483" s="79"/>
      <c r="E483" s="177">
        <f>+E478/E479</f>
        <v>3.3E-4</v>
      </c>
      <c r="F483" s="351" t="s">
        <v>380</v>
      </c>
      <c r="G483" s="23"/>
    </row>
    <row r="484" spans="1:7" s="729" customFormat="1">
      <c r="A484" s="1"/>
      <c r="B484" s="153"/>
      <c r="C484" s="354" t="s">
        <v>381</v>
      </c>
      <c r="D484" s="79"/>
      <c r="E484" s="168">
        <v>21.41</v>
      </c>
      <c r="F484" s="77" t="s">
        <v>359</v>
      </c>
      <c r="G484" s="728"/>
    </row>
    <row r="485" spans="1:7" s="729" customFormat="1">
      <c r="A485" s="1"/>
      <c r="B485" s="153"/>
      <c r="C485" s="354" t="s">
        <v>382</v>
      </c>
      <c r="D485" s="79"/>
      <c r="E485" s="168">
        <v>19.399999999999999</v>
      </c>
      <c r="F485" s="77" t="s">
        <v>359</v>
      </c>
      <c r="G485" s="728"/>
    </row>
    <row r="486" spans="1:7" s="729" customFormat="1">
      <c r="A486" s="1"/>
      <c r="B486" s="153"/>
      <c r="C486" s="354" t="s">
        <v>383</v>
      </c>
      <c r="D486" s="79"/>
      <c r="E486" s="168">
        <v>17.91</v>
      </c>
      <c r="F486" s="77" t="s">
        <v>359</v>
      </c>
      <c r="G486" s="728"/>
    </row>
    <row r="487" spans="1:7" s="729" customFormat="1">
      <c r="A487" s="1"/>
      <c r="B487" s="153"/>
      <c r="C487" s="354" t="s">
        <v>384</v>
      </c>
      <c r="D487" s="79"/>
      <c r="E487" s="168">
        <v>25.8</v>
      </c>
      <c r="F487" s="77" t="s">
        <v>385</v>
      </c>
      <c r="G487" s="728"/>
    </row>
    <row r="488" spans="1:7">
      <c r="B488" s="153"/>
      <c r="C488" s="354" t="s">
        <v>386</v>
      </c>
      <c r="D488" s="79"/>
      <c r="E488" s="163">
        <f>+(E480*E484)+(E481*E485)+(E482*E486)+(E483*E487)</f>
        <v>0.10938800000000001</v>
      </c>
      <c r="F488" s="351" t="s">
        <v>387</v>
      </c>
      <c r="G488" s="23"/>
    </row>
    <row r="489" spans="1:7">
      <c r="A489" s="52"/>
      <c r="B489" s="143"/>
      <c r="C489" s="144" t="s">
        <v>360</v>
      </c>
      <c r="D489" s="22"/>
      <c r="E489" s="169">
        <f>E460</f>
        <v>73693.675999999992</v>
      </c>
      <c r="F489" s="77" t="s">
        <v>361</v>
      </c>
      <c r="G489" s="23"/>
    </row>
    <row r="490" spans="1:7">
      <c r="A490" s="52"/>
      <c r="B490" s="143"/>
      <c r="C490" s="354" t="s">
        <v>388</v>
      </c>
      <c r="D490" s="79"/>
      <c r="E490" s="172">
        <f>ROUND(+E488*E489,2)</f>
        <v>8061.2</v>
      </c>
      <c r="F490" s="77" t="s">
        <v>229</v>
      </c>
      <c r="G490" s="23"/>
    </row>
    <row r="491" spans="1:7">
      <c r="A491" s="52"/>
      <c r="B491" s="143"/>
      <c r="C491" s="354" t="s">
        <v>389</v>
      </c>
      <c r="D491" s="22"/>
      <c r="E491" s="168">
        <v>10</v>
      </c>
      <c r="F491" s="77" t="s">
        <v>390</v>
      </c>
      <c r="G491" s="23"/>
    </row>
    <row r="492" spans="1:7">
      <c r="A492" s="52"/>
      <c r="B492" s="143"/>
      <c r="C492" s="144" t="s">
        <v>391</v>
      </c>
      <c r="D492" s="22"/>
      <c r="E492" s="172">
        <f>ROUND(+E490*E491/100,2)</f>
        <v>806.12</v>
      </c>
      <c r="F492" s="77" t="s">
        <v>229</v>
      </c>
      <c r="G492" s="23"/>
    </row>
    <row r="493" spans="1:7">
      <c r="A493" s="52"/>
      <c r="B493" s="143"/>
      <c r="C493" s="144" t="s">
        <v>392</v>
      </c>
      <c r="D493" s="22"/>
      <c r="E493" s="172">
        <f>(E492+E490)/E471</f>
        <v>554.20749999999998</v>
      </c>
      <c r="F493" s="77"/>
      <c r="G493" s="23"/>
    </row>
    <row r="494" spans="1:7">
      <c r="A494" s="52"/>
      <c r="B494" s="143"/>
      <c r="C494" s="354" t="s">
        <v>364</v>
      </c>
      <c r="D494" s="22"/>
      <c r="E494" s="76">
        <f>E493*E471</f>
        <v>8867.32</v>
      </c>
      <c r="F494" s="77"/>
      <c r="G494" s="23"/>
    </row>
    <row r="495" spans="1:7">
      <c r="A495" s="52"/>
      <c r="B495" s="143"/>
      <c r="C495" s="144"/>
      <c r="D495" s="22"/>
      <c r="E495" s="22"/>
      <c r="F495" s="77"/>
      <c r="G495" s="23"/>
    </row>
    <row r="496" spans="1:7">
      <c r="A496" s="52"/>
      <c r="B496" s="143"/>
      <c r="C496" s="19"/>
      <c r="D496" s="84" t="s">
        <v>500</v>
      </c>
      <c r="E496" s="76">
        <f>E472+E494</f>
        <v>10018.026</v>
      </c>
      <c r="F496" s="77" t="s">
        <v>229</v>
      </c>
      <c r="G496" s="23"/>
    </row>
    <row r="497" spans="1:7">
      <c r="A497" s="52"/>
      <c r="B497" s="143"/>
      <c r="C497" s="19"/>
      <c r="D497" s="344" t="s">
        <v>501</v>
      </c>
      <c r="E497" s="76">
        <f>E9*E496</f>
        <v>120216.31200000001</v>
      </c>
      <c r="F497" s="77" t="s">
        <v>229</v>
      </c>
      <c r="G497" s="23"/>
    </row>
    <row r="498" spans="1:7">
      <c r="A498" s="52"/>
      <c r="B498" s="143"/>
      <c r="C498" s="19"/>
      <c r="D498" s="19"/>
      <c r="E498" s="19"/>
      <c r="F498" s="93"/>
      <c r="G498" s="23"/>
    </row>
    <row r="499" spans="1:7">
      <c r="A499" s="3"/>
      <c r="B499" s="153"/>
      <c r="C499" s="16" t="s">
        <v>395</v>
      </c>
      <c r="D499" s="239"/>
      <c r="E499" s="74"/>
      <c r="F499" s="77"/>
      <c r="G499" s="23"/>
    </row>
    <row r="500" spans="1:7">
      <c r="A500" s="3"/>
      <c r="B500" s="153"/>
      <c r="C500" s="179"/>
      <c r="D500" s="344" t="s">
        <v>486</v>
      </c>
      <c r="E500" s="172">
        <f>E454+E496+E465</f>
        <v>319668.67828599998</v>
      </c>
      <c r="F500" s="77" t="s">
        <v>229</v>
      </c>
      <c r="G500" s="23"/>
    </row>
    <row r="501" spans="1:7">
      <c r="B501" s="86"/>
      <c r="C501" s="180"/>
      <c r="D501" s="344" t="s">
        <v>355</v>
      </c>
      <c r="E501" s="172">
        <f>E9*E500</f>
        <v>3836024.139432</v>
      </c>
      <c r="F501" s="77" t="s">
        <v>229</v>
      </c>
      <c r="G501" s="23"/>
    </row>
    <row r="502" spans="1:7" ht="12" thickBot="1">
      <c r="A502" s="52"/>
      <c r="B502" s="125"/>
      <c r="C502" s="48"/>
      <c r="D502" s="48"/>
      <c r="E502" s="126"/>
      <c r="F502" s="127"/>
      <c r="G502" s="29"/>
    </row>
    <row r="503" spans="1:7" ht="12" thickBot="1">
      <c r="A503" s="52"/>
      <c r="B503" s="78"/>
      <c r="C503" s="19"/>
      <c r="D503" s="19"/>
      <c r="E503" s="93"/>
      <c r="F503" s="80"/>
      <c r="G503" s="23"/>
    </row>
    <row r="504" spans="1:7">
      <c r="A504" s="52"/>
      <c r="B504" s="78"/>
      <c r="C504" s="128"/>
      <c r="D504" s="129"/>
      <c r="E504" s="129"/>
      <c r="F504" s="130"/>
      <c r="G504" s="23"/>
    </row>
    <row r="505" spans="1:7">
      <c r="A505" s="52"/>
      <c r="B505" s="78"/>
      <c r="C505" s="347" t="s">
        <v>396</v>
      </c>
      <c r="D505" s="132"/>
      <c r="E505" s="76">
        <f>E433+E500</f>
        <v>870472.74604599993</v>
      </c>
      <c r="F505" s="133" t="s">
        <v>229</v>
      </c>
      <c r="G505" s="23"/>
    </row>
    <row r="506" spans="1:7">
      <c r="A506" s="52"/>
      <c r="B506" s="78"/>
      <c r="C506" s="134" t="s">
        <v>397</v>
      </c>
      <c r="D506" s="132"/>
      <c r="E506" s="132"/>
      <c r="F506" s="135"/>
      <c r="G506" s="23"/>
    </row>
    <row r="507" spans="1:7">
      <c r="A507" s="52"/>
      <c r="B507" s="78"/>
      <c r="C507" s="347" t="s">
        <v>398</v>
      </c>
      <c r="D507" s="132"/>
      <c r="E507" s="76">
        <f>E505*E9</f>
        <v>10445672.952551998</v>
      </c>
      <c r="F507" s="133" t="s">
        <v>229</v>
      </c>
      <c r="G507" s="23"/>
    </row>
    <row r="508" spans="1:7" ht="12" thickBot="1">
      <c r="A508" s="52"/>
      <c r="B508" s="78"/>
      <c r="C508" s="136" t="s">
        <v>397</v>
      </c>
      <c r="D508" s="137"/>
      <c r="E508" s="137"/>
      <c r="F508" s="138"/>
      <c r="G508" s="23"/>
    </row>
    <row r="509" spans="1:7" ht="12" thickBot="1">
      <c r="A509" s="52"/>
      <c r="B509" s="125"/>
      <c r="C509" s="48"/>
      <c r="D509" s="48"/>
      <c r="E509" s="126"/>
      <c r="F509" s="127"/>
      <c r="G509" s="29"/>
    </row>
    <row r="510" spans="1:7" ht="12" thickBot="1">
      <c r="A510" s="52"/>
      <c r="B510" s="78"/>
      <c r="C510" s="19"/>
      <c r="D510" s="19"/>
      <c r="E510" s="93"/>
      <c r="F510" s="80"/>
      <c r="G510" s="23"/>
    </row>
    <row r="511" spans="1:7">
      <c r="A511" s="52"/>
      <c r="B511" s="78"/>
      <c r="C511" s="128"/>
      <c r="D511" s="129"/>
      <c r="E511" s="129"/>
      <c r="F511" s="130"/>
      <c r="G511" s="23"/>
    </row>
    <row r="512" spans="1:7">
      <c r="A512" s="52"/>
      <c r="B512" s="86"/>
      <c r="C512" s="347" t="s">
        <v>545</v>
      </c>
      <c r="D512" s="132"/>
      <c r="E512" s="76">
        <f>E232+E289+E505</f>
        <v>1536447.2895166217</v>
      </c>
      <c r="F512" s="133" t="s">
        <v>229</v>
      </c>
      <c r="G512" s="112"/>
    </row>
    <row r="513" spans="1:7">
      <c r="B513" s="86"/>
      <c r="C513" s="134" t="s">
        <v>441</v>
      </c>
      <c r="D513" s="132"/>
      <c r="E513" s="132"/>
      <c r="F513" s="135"/>
      <c r="G513" s="23"/>
    </row>
    <row r="514" spans="1:7">
      <c r="A514" s="52"/>
      <c r="B514" s="86"/>
      <c r="C514" s="131" t="s">
        <v>442</v>
      </c>
      <c r="D514" s="132"/>
      <c r="E514" s="76">
        <f>E512*E9</f>
        <v>18437367.474199459</v>
      </c>
      <c r="F514" s="133" t="s">
        <v>229</v>
      </c>
      <c r="G514" s="23"/>
    </row>
    <row r="515" spans="1:7" ht="12" thickBot="1">
      <c r="A515" s="52"/>
      <c r="B515" s="86"/>
      <c r="C515" s="136" t="s">
        <v>443</v>
      </c>
      <c r="D515" s="137"/>
      <c r="E515" s="137"/>
      <c r="F515" s="138"/>
      <c r="G515" s="23"/>
    </row>
    <row r="516" spans="1:7" ht="12" thickBot="1">
      <c r="A516" s="52"/>
      <c r="B516" s="139"/>
      <c r="C516" s="48"/>
      <c r="D516" s="48"/>
      <c r="E516" s="48"/>
      <c r="F516" s="127"/>
      <c r="G516" s="29"/>
    </row>
    <row r="517" spans="1:7" hidden="1">
      <c r="A517" s="52"/>
      <c r="B517" s="52"/>
      <c r="C517" s="3"/>
      <c r="E517" s="181"/>
      <c r="F517" s="115"/>
    </row>
    <row r="518" spans="1:7" ht="13.8" hidden="1">
      <c r="A518" s="757" t="s">
        <v>402</v>
      </c>
      <c r="B518" s="758"/>
      <c r="C518" s="758"/>
      <c r="D518" s="758"/>
      <c r="E518" s="758"/>
      <c r="F518" s="758"/>
      <c r="G518" s="758"/>
    </row>
    <row r="519" spans="1:7" hidden="1">
      <c r="A519" s="34"/>
    </row>
    <row r="520" spans="1:7" hidden="1">
      <c r="A520" s="34"/>
      <c r="B520" s="182"/>
      <c r="C520" s="13"/>
      <c r="D520" s="13"/>
      <c r="E520" s="13"/>
      <c r="F520" s="13"/>
      <c r="G520" s="14"/>
    </row>
    <row r="521" spans="1:7" hidden="1">
      <c r="A521" s="34"/>
      <c r="B521" s="78"/>
      <c r="C521" s="19"/>
      <c r="D521" s="82" t="s">
        <v>223</v>
      </c>
      <c r="E521" s="82" t="s">
        <v>403</v>
      </c>
      <c r="F521" s="82" t="s">
        <v>277</v>
      </c>
      <c r="G521" s="23"/>
    </row>
    <row r="522" spans="1:7" hidden="1">
      <c r="B522" s="78"/>
      <c r="C522" s="79"/>
      <c r="D522" s="108">
        <v>0</v>
      </c>
      <c r="E522" s="71">
        <v>0</v>
      </c>
      <c r="F522" s="71">
        <f>+E522*D522</f>
        <v>0</v>
      </c>
      <c r="G522" s="183"/>
    </row>
    <row r="523" spans="1:7" hidden="1">
      <c r="B523" s="78"/>
      <c r="C523" s="79"/>
      <c r="D523" s="108">
        <v>0</v>
      </c>
      <c r="E523" s="71">
        <v>0</v>
      </c>
      <c r="F523" s="71">
        <f>D523*E523</f>
        <v>0</v>
      </c>
      <c r="G523" s="23"/>
    </row>
    <row r="524" spans="1:7" hidden="1">
      <c r="B524" s="78"/>
      <c r="C524" s="84" t="s">
        <v>404</v>
      </c>
      <c r="D524" s="184">
        <f>SUM(D522:D523)</f>
        <v>0</v>
      </c>
      <c r="E524" s="185"/>
      <c r="F524" s="76">
        <f>SUM(F522:F523)</f>
        <v>0</v>
      </c>
      <c r="G524" s="112" t="s">
        <v>229</v>
      </c>
    </row>
    <row r="525" spans="1:7" hidden="1">
      <c r="B525" s="78"/>
      <c r="C525" s="355" t="s">
        <v>405</v>
      </c>
      <c r="D525" s="186">
        <f>'DADOS DE ENTRADA'!B35</f>
        <v>0.80840000000000001</v>
      </c>
      <c r="E525" s="71">
        <f>F524</f>
        <v>0</v>
      </c>
      <c r="F525" s="71">
        <f>ROUND(D525*E525,2)</f>
        <v>0</v>
      </c>
      <c r="G525" s="23"/>
    </row>
    <row r="526" spans="1:7" hidden="1">
      <c r="B526" s="78"/>
      <c r="C526" s="19"/>
      <c r="D526" s="84"/>
      <c r="E526" s="344" t="s">
        <v>406</v>
      </c>
      <c r="F526" s="76">
        <f>+F525+F524</f>
        <v>0</v>
      </c>
      <c r="G526" s="112" t="s">
        <v>229</v>
      </c>
    </row>
    <row r="527" spans="1:7" hidden="1">
      <c r="B527" s="78"/>
      <c r="C527" s="19"/>
      <c r="D527" s="19"/>
      <c r="E527" s="93"/>
      <c r="F527" s="80"/>
      <c r="G527" s="23"/>
    </row>
    <row r="528" spans="1:7" hidden="1">
      <c r="B528" s="86"/>
      <c r="C528" s="128"/>
      <c r="D528" s="129"/>
      <c r="E528" s="129"/>
      <c r="F528" s="130"/>
      <c r="G528" s="112"/>
    </row>
    <row r="529" spans="1:7" hidden="1">
      <c r="A529" s="52"/>
      <c r="B529" s="86"/>
      <c r="C529" s="347" t="s">
        <v>407</v>
      </c>
      <c r="D529" s="132"/>
      <c r="E529" s="76">
        <f>F526</f>
        <v>0</v>
      </c>
      <c r="F529" s="133" t="s">
        <v>229</v>
      </c>
      <c r="G529" s="23"/>
    </row>
    <row r="530" spans="1:7" hidden="1">
      <c r="A530" s="3"/>
      <c r="B530" s="86"/>
      <c r="C530" s="134" t="s">
        <v>408</v>
      </c>
      <c r="D530" s="132"/>
      <c r="E530" s="132"/>
      <c r="F530" s="135"/>
      <c r="G530" s="23"/>
    </row>
    <row r="531" spans="1:7" hidden="1">
      <c r="A531" s="52"/>
      <c r="B531" s="86"/>
      <c r="C531" s="347" t="s">
        <v>409</v>
      </c>
      <c r="D531" s="132"/>
      <c r="E531" s="76">
        <f>+E529*E9</f>
        <v>0</v>
      </c>
      <c r="F531" s="133" t="s">
        <v>229</v>
      </c>
      <c r="G531" s="23"/>
    </row>
    <row r="532" spans="1:7" ht="12" hidden="1" thickBot="1">
      <c r="A532" s="52"/>
      <c r="B532" s="86"/>
      <c r="C532" s="136" t="s">
        <v>408</v>
      </c>
      <c r="D532" s="137"/>
      <c r="E532" s="137"/>
      <c r="F532" s="138"/>
      <c r="G532" s="112"/>
    </row>
    <row r="533" spans="1:7" ht="12" hidden="1" thickBot="1">
      <c r="A533" s="3"/>
      <c r="B533" s="139"/>
      <c r="C533" s="48"/>
      <c r="D533" s="48"/>
      <c r="E533" s="48"/>
      <c r="F533" s="127"/>
      <c r="G533" s="29"/>
    </row>
    <row r="534" spans="1:7" hidden="1">
      <c r="B534" s="3"/>
      <c r="F534" s="100"/>
    </row>
    <row r="535" spans="1:7" ht="13.8" hidden="1">
      <c r="A535" s="757" t="s">
        <v>410</v>
      </c>
      <c r="B535" s="758"/>
      <c r="C535" s="758"/>
      <c r="D535" s="758"/>
      <c r="E535" s="758"/>
      <c r="F535" s="758"/>
      <c r="G535" s="758"/>
    </row>
    <row r="536" spans="1:7" ht="13.8" hidden="1">
      <c r="A536" s="187"/>
      <c r="B536" s="187"/>
      <c r="C536" s="187"/>
      <c r="D536" s="187"/>
      <c r="E536" s="187"/>
      <c r="F536" s="187"/>
      <c r="G536" s="187"/>
    </row>
    <row r="537" spans="1:7" hidden="1">
      <c r="A537" s="199"/>
      <c r="B537" s="188"/>
      <c r="C537" s="33" t="s">
        <v>166</v>
      </c>
      <c r="D537" s="189"/>
      <c r="E537" s="190"/>
      <c r="F537" s="33" t="s">
        <v>166</v>
      </c>
      <c r="G537" s="14"/>
    </row>
    <row r="538" spans="1:7" hidden="1">
      <c r="A538" s="199"/>
      <c r="B538" s="146" t="s">
        <v>411</v>
      </c>
      <c r="C538" s="191">
        <v>0</v>
      </c>
      <c r="D538" s="77"/>
      <c r="E538" s="192" t="s">
        <v>411</v>
      </c>
      <c r="F538" s="191">
        <v>0</v>
      </c>
      <c r="G538" s="23"/>
    </row>
    <row r="539" spans="1:7" hidden="1">
      <c r="A539" s="199"/>
      <c r="B539" s="146" t="s">
        <v>412</v>
      </c>
      <c r="C539" s="193">
        <v>0</v>
      </c>
      <c r="D539" s="77" t="s">
        <v>229</v>
      </c>
      <c r="E539" s="192" t="s">
        <v>412</v>
      </c>
      <c r="F539" s="193">
        <v>0</v>
      </c>
      <c r="G539" s="194"/>
    </row>
    <row r="540" spans="1:7" hidden="1">
      <c r="A540" s="199"/>
      <c r="B540" s="146" t="s">
        <v>413</v>
      </c>
      <c r="C540" s="195"/>
      <c r="D540" s="77" t="s">
        <v>414</v>
      </c>
      <c r="E540" s="192" t="s">
        <v>413</v>
      </c>
      <c r="F540" s="195"/>
      <c r="G540" s="23"/>
    </row>
    <row r="541" spans="1:7" hidden="1">
      <c r="B541" s="146" t="s">
        <v>415</v>
      </c>
      <c r="C541" s="196"/>
      <c r="D541" s="77" t="s">
        <v>390</v>
      </c>
      <c r="E541" s="192" t="s">
        <v>415</v>
      </c>
      <c r="F541" s="196"/>
      <c r="G541" s="23"/>
    </row>
    <row r="542" spans="1:7" hidden="1">
      <c r="A542" s="91"/>
      <c r="B542" s="146" t="s">
        <v>416</v>
      </c>
      <c r="C542" s="196"/>
      <c r="D542" s="77" t="s">
        <v>390</v>
      </c>
      <c r="E542" s="192" t="s">
        <v>416</v>
      </c>
      <c r="F542" s="196"/>
      <c r="G542" s="23"/>
    </row>
    <row r="543" spans="1:7" hidden="1">
      <c r="B543" s="146" t="s">
        <v>417</v>
      </c>
      <c r="C543" s="196"/>
      <c r="D543" s="77" t="s">
        <v>418</v>
      </c>
      <c r="E543" s="192" t="s">
        <v>417</v>
      </c>
      <c r="F543" s="196"/>
      <c r="G543" s="23"/>
    </row>
    <row r="544" spans="1:7" hidden="1">
      <c r="B544" s="146" t="s">
        <v>419</v>
      </c>
      <c r="C544" s="196"/>
      <c r="D544" s="77" t="s">
        <v>390</v>
      </c>
      <c r="E544" s="192" t="s">
        <v>419</v>
      </c>
      <c r="F544" s="196"/>
      <c r="G544" s="23"/>
    </row>
    <row r="545" spans="1:7" hidden="1">
      <c r="B545" s="146" t="s">
        <v>420</v>
      </c>
      <c r="C545" s="163"/>
      <c r="D545" s="77" t="s">
        <v>387</v>
      </c>
      <c r="E545" s="192" t="s">
        <v>420</v>
      </c>
      <c r="F545" s="163"/>
      <c r="G545" s="23"/>
    </row>
    <row r="546" spans="1:7" hidden="1">
      <c r="B546" s="146" t="s">
        <v>421</v>
      </c>
      <c r="C546" s="191">
        <v>0</v>
      </c>
      <c r="D546" s="77" t="s">
        <v>361</v>
      </c>
      <c r="E546" s="192" t="s">
        <v>421</v>
      </c>
      <c r="F546" s="191">
        <v>0</v>
      </c>
      <c r="G546" s="23"/>
    </row>
    <row r="547" spans="1:7" hidden="1">
      <c r="B547" s="146" t="s">
        <v>422</v>
      </c>
      <c r="C547" s="168">
        <v>0</v>
      </c>
      <c r="D547" s="77" t="s">
        <v>369</v>
      </c>
      <c r="E547" s="192" t="s">
        <v>422</v>
      </c>
      <c r="F547" s="168">
        <v>0</v>
      </c>
      <c r="G547" s="23"/>
    </row>
    <row r="548" spans="1:7" hidden="1">
      <c r="B548" s="146" t="s">
        <v>423</v>
      </c>
      <c r="C548" s="193">
        <v>4</v>
      </c>
      <c r="D548" s="77" t="s">
        <v>359</v>
      </c>
      <c r="E548" s="192" t="s">
        <v>423</v>
      </c>
      <c r="F548" s="193">
        <f>'DADOS DE ENTRADA'!H27</f>
        <v>7.33</v>
      </c>
      <c r="G548" s="23"/>
    </row>
    <row r="549" spans="1:7" hidden="1">
      <c r="B549" s="146" t="s">
        <v>424</v>
      </c>
      <c r="C549" s="168"/>
      <c r="D549" s="77" t="s">
        <v>361</v>
      </c>
      <c r="E549" s="192" t="s">
        <v>424</v>
      </c>
      <c r="F549" s="168"/>
      <c r="G549" s="23"/>
    </row>
    <row r="550" spans="1:7" hidden="1">
      <c r="A550" s="241"/>
      <c r="B550" s="146" t="s">
        <v>425</v>
      </c>
      <c r="C550" s="196"/>
      <c r="D550" s="77" t="s">
        <v>229</v>
      </c>
      <c r="E550" s="192" t="s">
        <v>425</v>
      </c>
      <c r="F550" s="196"/>
      <c r="G550" s="23"/>
    </row>
    <row r="551" spans="1:7" hidden="1">
      <c r="B551" s="146" t="s">
        <v>426</v>
      </c>
      <c r="C551" s="168"/>
      <c r="D551" s="77" t="s">
        <v>229</v>
      </c>
      <c r="E551" s="192" t="s">
        <v>426</v>
      </c>
      <c r="F551" s="168"/>
      <c r="G551" s="23"/>
    </row>
    <row r="552" spans="1:7" hidden="1">
      <c r="B552" s="146" t="s">
        <v>427</v>
      </c>
      <c r="C552" s="168"/>
      <c r="D552" s="77" t="s">
        <v>229</v>
      </c>
      <c r="E552" s="192" t="s">
        <v>427</v>
      </c>
      <c r="F552" s="168"/>
      <c r="G552" s="23"/>
    </row>
    <row r="553" spans="1:7" hidden="1">
      <c r="B553" s="141" t="s">
        <v>428</v>
      </c>
      <c r="C553" s="168">
        <f>+(C538*C539)*(C543/100)/12</f>
        <v>0</v>
      </c>
      <c r="D553" s="77" t="s">
        <v>229</v>
      </c>
      <c r="E553" s="192" t="s">
        <v>429</v>
      </c>
      <c r="F553" s="168">
        <f>+(F538*F539)*(F543/100)/12</f>
        <v>0</v>
      </c>
      <c r="G553" s="23"/>
    </row>
    <row r="554" spans="1:7" hidden="1">
      <c r="B554" s="146" t="s">
        <v>430</v>
      </c>
      <c r="C554" s="168">
        <f>ROUND(+(C538*C539)*(C544/100)/12,2)</f>
        <v>0</v>
      </c>
      <c r="D554" s="77" t="s">
        <v>229</v>
      </c>
      <c r="E554" s="192" t="s">
        <v>431</v>
      </c>
      <c r="F554" s="168">
        <f>ROUND(+(F538*F539)*(F544/100)/12,2)</f>
        <v>0</v>
      </c>
      <c r="G554" s="23"/>
    </row>
    <row r="555" spans="1:7" hidden="1">
      <c r="A555" s="241"/>
      <c r="B555" s="197" t="s">
        <v>432</v>
      </c>
      <c r="C555" s="150">
        <f>C539</f>
        <v>0</v>
      </c>
      <c r="D555" s="77" t="s">
        <v>229</v>
      </c>
      <c r="E555" s="198" t="s">
        <v>432</v>
      </c>
      <c r="F555" s="150">
        <f>F539</f>
        <v>0</v>
      </c>
      <c r="G555" s="23"/>
    </row>
    <row r="556" spans="1:7" hidden="1">
      <c r="B556" s="146" t="s">
        <v>433</v>
      </c>
      <c r="C556" s="168">
        <v>0</v>
      </c>
      <c r="D556" s="77" t="s">
        <v>229</v>
      </c>
      <c r="E556" s="192" t="s">
        <v>433</v>
      </c>
      <c r="F556" s="168">
        <f>F547*F548</f>
        <v>0</v>
      </c>
      <c r="G556" s="23"/>
    </row>
    <row r="557" spans="1:7" hidden="1">
      <c r="B557" s="146" t="s">
        <v>434</v>
      </c>
      <c r="C557" s="168">
        <v>0</v>
      </c>
      <c r="D557" s="77" t="s">
        <v>229</v>
      </c>
      <c r="E557" s="192" t="s">
        <v>434</v>
      </c>
      <c r="F557" s="168">
        <f>ROUND(+F545*F546,2)</f>
        <v>0</v>
      </c>
      <c r="G557" s="23"/>
    </row>
    <row r="558" spans="1:7" hidden="1">
      <c r="B558" s="146" t="s">
        <v>435</v>
      </c>
      <c r="C558" s="168">
        <v>0</v>
      </c>
      <c r="D558" s="77" t="s">
        <v>229</v>
      </c>
      <c r="E558" s="192" t="s">
        <v>435</v>
      </c>
      <c r="F558" s="168"/>
      <c r="G558" s="23"/>
    </row>
    <row r="559" spans="1:7" hidden="1">
      <c r="A559" s="199"/>
      <c r="B559" s="197" t="s">
        <v>436</v>
      </c>
      <c r="C559" s="168">
        <v>0</v>
      </c>
      <c r="D559" s="77" t="s">
        <v>229</v>
      </c>
      <c r="E559" s="198" t="s">
        <v>436</v>
      </c>
      <c r="F559" s="150">
        <f>SUM(F556:F558)</f>
        <v>0</v>
      </c>
      <c r="G559" s="23"/>
    </row>
    <row r="560" spans="1:7" hidden="1">
      <c r="A560" s="199"/>
      <c r="B560" s="350" t="s">
        <v>437</v>
      </c>
      <c r="C560" s="76">
        <f>(+C555+C559)*C538</f>
        <v>0</v>
      </c>
      <c r="D560" s="77" t="s">
        <v>229</v>
      </c>
      <c r="E560" s="77"/>
      <c r="F560" s="76">
        <f>(+F555+F559)*F538</f>
        <v>0</v>
      </c>
      <c r="G560" s="23" t="str">
        <f>D560</f>
        <v>(R$)</v>
      </c>
    </row>
    <row r="561" spans="1:7" hidden="1">
      <c r="A561" s="199"/>
      <c r="B561" s="143"/>
      <c r="C561" s="84"/>
      <c r="D561" s="93"/>
      <c r="E561" s="145"/>
      <c r="F561" s="145"/>
      <c r="G561" s="23"/>
    </row>
    <row r="562" spans="1:7" hidden="1">
      <c r="A562" s="199"/>
      <c r="B562" s="143"/>
      <c r="C562" s="84"/>
      <c r="D562" s="344" t="s">
        <v>438</v>
      </c>
      <c r="E562" s="76">
        <f>C560+F560</f>
        <v>0</v>
      </c>
      <c r="F562" s="145"/>
      <c r="G562" s="23"/>
    </row>
    <row r="563" spans="1:7" hidden="1">
      <c r="A563" s="199"/>
      <c r="B563" s="86"/>
      <c r="C563" s="84"/>
      <c r="D563" s="344" t="s">
        <v>439</v>
      </c>
      <c r="E563" s="76">
        <f>E562*E9</f>
        <v>0</v>
      </c>
      <c r="F563" s="77" t="s">
        <v>229</v>
      </c>
      <c r="G563" s="23"/>
    </row>
    <row r="564" spans="1:7" ht="12" hidden="1" thickBot="1">
      <c r="A564" s="199"/>
      <c r="B564" s="143"/>
      <c r="C564" s="84"/>
      <c r="D564" s="93"/>
      <c r="E564" s="145"/>
      <c r="F564" s="145"/>
      <c r="G564" s="23"/>
    </row>
    <row r="565" spans="1:7" hidden="1">
      <c r="B565" s="86"/>
      <c r="C565" s="128"/>
      <c r="D565" s="129"/>
      <c r="E565" s="129"/>
      <c r="F565" s="130"/>
      <c r="G565" s="23"/>
    </row>
    <row r="566" spans="1:7" hidden="1">
      <c r="B566" s="86"/>
      <c r="C566" s="131" t="s">
        <v>440</v>
      </c>
      <c r="D566" s="132"/>
      <c r="E566" s="76">
        <v>0</v>
      </c>
      <c r="F566" s="133" t="s">
        <v>229</v>
      </c>
      <c r="G566" s="112"/>
    </row>
    <row r="567" spans="1:7" hidden="1">
      <c r="A567" s="52"/>
      <c r="B567" s="86"/>
      <c r="C567" s="134" t="s">
        <v>441</v>
      </c>
      <c r="D567" s="132"/>
      <c r="E567" s="132"/>
      <c r="F567" s="135"/>
      <c r="G567" s="23"/>
    </row>
    <row r="568" spans="1:7" hidden="1">
      <c r="A568" s="52"/>
      <c r="B568" s="86"/>
      <c r="C568" s="131" t="s">
        <v>442</v>
      </c>
      <c r="D568" s="132"/>
      <c r="E568" s="76">
        <f>+E566*E9</f>
        <v>0</v>
      </c>
      <c r="F568" s="133" t="s">
        <v>229</v>
      </c>
      <c r="G568" s="92"/>
    </row>
    <row r="569" spans="1:7" ht="12" hidden="1" thickBot="1">
      <c r="A569" s="3"/>
      <c r="B569" s="86"/>
      <c r="C569" s="136" t="s">
        <v>443</v>
      </c>
      <c r="D569" s="137"/>
      <c r="E569" s="137"/>
      <c r="F569" s="138"/>
      <c r="G569" s="112"/>
    </row>
    <row r="570" spans="1:7" ht="12" hidden="1" thickBot="1">
      <c r="A570" s="52"/>
      <c r="B570" s="139"/>
      <c r="C570" s="26"/>
      <c r="D570" s="48"/>
      <c r="E570" s="126"/>
      <c r="F570" s="126"/>
      <c r="G570" s="29"/>
    </row>
    <row r="571" spans="1:7">
      <c r="A571" s="3"/>
      <c r="B571" s="3"/>
      <c r="C571" s="34"/>
      <c r="E571" s="100"/>
      <c r="F571" s="254"/>
      <c r="G571" s="115"/>
    </row>
    <row r="572" spans="1:7" ht="13.8">
      <c r="A572" s="757" t="s">
        <v>444</v>
      </c>
      <c r="B572" s="758"/>
      <c r="C572" s="758"/>
      <c r="D572" s="758"/>
      <c r="E572" s="758"/>
      <c r="F572" s="758"/>
      <c r="G572" s="758"/>
    </row>
    <row r="573" spans="1:7" ht="12" thickBot="1">
      <c r="A573" s="3"/>
      <c r="D573" s="199"/>
      <c r="F573" s="200"/>
    </row>
    <row r="574" spans="1:7">
      <c r="A574" s="3"/>
      <c r="B574" s="43" t="s">
        <v>445</v>
      </c>
      <c r="C574" s="44"/>
      <c r="D574" s="44"/>
      <c r="E574" s="44"/>
      <c r="F574" s="44"/>
      <c r="G574" s="201"/>
    </row>
    <row r="575" spans="1:7">
      <c r="A575" s="3"/>
      <c r="B575" s="202"/>
      <c r="C575" s="22"/>
      <c r="D575" s="22"/>
      <c r="E575" s="22"/>
      <c r="F575" s="22"/>
      <c r="G575" s="23"/>
    </row>
    <row r="576" spans="1:7">
      <c r="A576" s="3"/>
      <c r="B576" s="202"/>
      <c r="C576" s="22"/>
      <c r="D576" s="22"/>
      <c r="E576" s="22"/>
      <c r="F576" s="22"/>
      <c r="G576" s="23"/>
    </row>
    <row r="577" spans="1:7">
      <c r="A577" s="3"/>
      <c r="B577" s="202"/>
      <c r="C577" s="22"/>
      <c r="D577" s="22"/>
      <c r="E577" s="22"/>
      <c r="F577" s="22"/>
      <c r="G577" s="23"/>
    </row>
    <row r="578" spans="1:7">
      <c r="A578" s="3"/>
      <c r="B578" s="202"/>
      <c r="C578" s="22"/>
      <c r="D578" s="22"/>
      <c r="E578" s="22"/>
      <c r="F578" s="22"/>
      <c r="G578" s="23"/>
    </row>
    <row r="579" spans="1:7" ht="13.5" customHeight="1">
      <c r="A579" s="3"/>
      <c r="B579" s="202"/>
      <c r="C579" s="22"/>
      <c r="D579" s="22"/>
      <c r="E579" s="22"/>
      <c r="F579" s="22"/>
      <c r="G579" s="23"/>
    </row>
    <row r="580" spans="1:7" ht="13.5" customHeight="1">
      <c r="A580" s="3"/>
      <c r="B580" s="202"/>
      <c r="C580" s="22"/>
      <c r="D580" s="22"/>
      <c r="E580" s="22"/>
      <c r="F580" s="22"/>
      <c r="G580" s="23"/>
    </row>
    <row r="581" spans="1:7" ht="13.5" customHeight="1">
      <c r="A581" s="3"/>
      <c r="B581" s="202"/>
      <c r="C581" s="22"/>
      <c r="D581" s="22"/>
      <c r="E581" s="22"/>
      <c r="F581" s="22"/>
      <c r="G581" s="23"/>
    </row>
    <row r="582" spans="1:7" ht="13.5" customHeight="1">
      <c r="A582" s="3"/>
      <c r="B582" s="202"/>
      <c r="C582" s="777" t="s">
        <v>446</v>
      </c>
      <c r="D582" s="203" t="s">
        <v>109</v>
      </c>
      <c r="E582" s="204">
        <v>1.6500000000000001E-2</v>
      </c>
      <c r="F582" s="22"/>
      <c r="G582" s="23"/>
    </row>
    <row r="583" spans="1:7" ht="13.5" customHeight="1">
      <c r="A583" s="3"/>
      <c r="B583" s="202"/>
      <c r="C583" s="778"/>
      <c r="D583" s="203" t="s">
        <v>112</v>
      </c>
      <c r="E583" s="204">
        <v>7.5999999999999998E-2</v>
      </c>
      <c r="F583" s="22"/>
      <c r="G583" s="23"/>
    </row>
    <row r="584" spans="1:7" ht="13.5" customHeight="1">
      <c r="A584" s="3"/>
      <c r="B584" s="202"/>
      <c r="C584" s="778"/>
      <c r="D584" s="203" t="s">
        <v>115</v>
      </c>
      <c r="E584" s="204">
        <v>0.05</v>
      </c>
      <c r="F584" s="22"/>
      <c r="G584" s="23"/>
    </row>
    <row r="585" spans="1:7" ht="13.5" customHeight="1">
      <c r="A585" s="3"/>
      <c r="B585" s="202"/>
      <c r="C585" s="773" t="s">
        <v>447</v>
      </c>
      <c r="D585" s="773"/>
      <c r="E585" s="205">
        <f>SUM(E582:E584)</f>
        <v>0.14250000000000002</v>
      </c>
      <c r="F585" s="22"/>
      <c r="G585" s="23"/>
    </row>
    <row r="586" spans="1:7" ht="13.5" customHeight="1">
      <c r="A586" s="3"/>
      <c r="B586" s="95"/>
      <c r="C586" s="781" t="s">
        <v>448</v>
      </c>
      <c r="D586" s="782"/>
      <c r="E586" s="204">
        <v>3.4299999999999997E-2</v>
      </c>
      <c r="F586" s="22"/>
      <c r="G586" s="23"/>
    </row>
    <row r="587" spans="1:7" ht="13.5" customHeight="1">
      <c r="A587" s="3"/>
      <c r="B587" s="95"/>
      <c r="C587" s="773" t="s">
        <v>449</v>
      </c>
      <c r="D587" s="773"/>
      <c r="E587" s="204">
        <v>0.01</v>
      </c>
      <c r="F587" s="22"/>
      <c r="G587" s="23"/>
    </row>
    <row r="588" spans="1:7" ht="13.5" customHeight="1">
      <c r="A588" s="3"/>
      <c r="B588" s="78"/>
      <c r="C588" s="773" t="s">
        <v>450</v>
      </c>
      <c r="D588" s="773"/>
      <c r="E588" s="204">
        <v>4.8999999999999998E-3</v>
      </c>
      <c r="F588" s="22"/>
      <c r="G588" s="23"/>
    </row>
    <row r="589" spans="1:7" ht="13.5" customHeight="1">
      <c r="A589" s="3"/>
      <c r="B589" s="78"/>
      <c r="C589" s="773" t="s">
        <v>451</v>
      </c>
      <c r="D589" s="773"/>
      <c r="E589" s="204">
        <v>9.4000000000000004E-3</v>
      </c>
      <c r="F589" s="22"/>
      <c r="G589" s="23"/>
    </row>
    <row r="590" spans="1:7" ht="13.5" customHeight="1">
      <c r="A590" s="3"/>
      <c r="B590" s="95"/>
      <c r="C590" s="773" t="s">
        <v>452</v>
      </c>
      <c r="D590" s="773"/>
      <c r="E590" s="204">
        <v>8.5000000000000006E-2</v>
      </c>
      <c r="F590" s="22"/>
      <c r="G590" s="23"/>
    </row>
    <row r="591" spans="1:7" ht="13.5" customHeight="1">
      <c r="A591" s="3"/>
      <c r="B591" s="202"/>
      <c r="C591" s="774" t="s">
        <v>453</v>
      </c>
      <c r="D591" s="774"/>
      <c r="E591" s="255">
        <f>((1+E586+E587+E588)*(1+E589)*(1+E590))/(1-E585)-1</f>
        <v>0.34003823999999994</v>
      </c>
      <c r="F591" s="22"/>
      <c r="G591" s="23"/>
    </row>
    <row r="592" spans="1:7" ht="13.5" customHeight="1" thickBot="1">
      <c r="A592" s="3"/>
      <c r="B592" s="206"/>
      <c r="C592" s="207"/>
      <c r="D592" s="207"/>
      <c r="E592" s="207"/>
      <c r="F592" s="207"/>
      <c r="G592" s="208"/>
    </row>
    <row r="593" spans="1:7" ht="13.5" customHeight="1">
      <c r="A593" s="3"/>
      <c r="B593" s="182"/>
      <c r="C593" s="12"/>
      <c r="D593" s="12"/>
      <c r="E593" s="44"/>
      <c r="F593" s="44"/>
      <c r="G593" s="201"/>
    </row>
    <row r="594" spans="1:7" ht="13.5" customHeight="1">
      <c r="A594" s="52"/>
      <c r="B594" s="95"/>
      <c r="C594" s="19"/>
      <c r="D594" s="17" t="s">
        <v>454</v>
      </c>
      <c r="E594" s="76">
        <f>E512</f>
        <v>1536447.2895166217</v>
      </c>
      <c r="F594" s="145" t="s">
        <v>340</v>
      </c>
      <c r="G594" s="23"/>
    </row>
    <row r="595" spans="1:7" ht="13.5" customHeight="1">
      <c r="A595" s="52"/>
      <c r="B595" s="95"/>
      <c r="C595" s="19"/>
      <c r="D595" s="17" t="s">
        <v>576</v>
      </c>
      <c r="E595" s="76">
        <f>'Comp. Aux. Caminhão Resv.'!E590</f>
        <v>39510.53969333334</v>
      </c>
      <c r="F595" s="145"/>
      <c r="G595" s="23"/>
    </row>
    <row r="596" spans="1:7" ht="13.5" customHeight="1">
      <c r="A596" s="199"/>
      <c r="B596" s="78"/>
      <c r="C596" s="19"/>
      <c r="D596" s="17" t="s">
        <v>455</v>
      </c>
      <c r="E596" s="172">
        <f>E7</f>
        <v>6506.5</v>
      </c>
      <c r="F596" s="145" t="s">
        <v>456</v>
      </c>
      <c r="G596" s="23"/>
    </row>
    <row r="597" spans="1:7" ht="13.5" customHeight="1">
      <c r="A597" s="199"/>
      <c r="B597" s="78"/>
      <c r="C597" s="19"/>
      <c r="D597" s="19"/>
      <c r="E597" s="19"/>
      <c r="F597" s="19"/>
      <c r="G597" s="23"/>
    </row>
    <row r="598" spans="1:7" ht="13.5" customHeight="1">
      <c r="A598" s="52"/>
      <c r="B598" s="95"/>
      <c r="C598" s="19"/>
      <c r="D598" s="209" t="s">
        <v>457</v>
      </c>
      <c r="E598" s="76">
        <f>(E594+E595)/E596</f>
        <v>242.21283780987554</v>
      </c>
      <c r="F598" s="145" t="s">
        <v>458</v>
      </c>
      <c r="G598" s="23"/>
    </row>
    <row r="599" spans="1:7" ht="13.5" customHeight="1">
      <c r="A599" s="199"/>
      <c r="B599" s="78"/>
      <c r="C599" s="19"/>
      <c r="D599" s="56"/>
      <c r="E599" s="56"/>
      <c r="F599" s="145"/>
      <c r="G599" s="23"/>
    </row>
    <row r="600" spans="1:7" ht="13.5" customHeight="1">
      <c r="A600" s="199"/>
      <c r="B600" s="95"/>
      <c r="C600" s="19"/>
      <c r="D600" s="116"/>
      <c r="E600" s="19"/>
      <c r="F600" s="19"/>
      <c r="G600" s="23"/>
    </row>
    <row r="601" spans="1:7">
      <c r="A601" s="199"/>
      <c r="B601" s="78"/>
      <c r="C601" s="17"/>
      <c r="D601" s="210" t="s">
        <v>459</v>
      </c>
      <c r="E601" s="76">
        <f>E598*(1+E591)</f>
        <v>324.57446488415104</v>
      </c>
      <c r="F601" s="145" t="s">
        <v>458</v>
      </c>
      <c r="G601" s="92"/>
    </row>
    <row r="602" spans="1:7" ht="12" thickBot="1">
      <c r="A602" s="211"/>
      <c r="B602" s="212"/>
      <c r="C602" s="213"/>
      <c r="D602" s="213"/>
      <c r="E602" s="48"/>
      <c r="F602" s="214"/>
      <c r="G602" s="215"/>
    </row>
    <row r="603" spans="1:7">
      <c r="A603" s="211"/>
      <c r="B603" s="211"/>
      <c r="C603" s="211"/>
      <c r="D603" s="216"/>
      <c r="E603" s="115"/>
      <c r="F603" s="217"/>
      <c r="G603" s="218"/>
    </row>
    <row r="604" spans="1:7" ht="12.75" customHeight="1">
      <c r="A604" s="211"/>
      <c r="B604" s="211"/>
      <c r="C604" s="211"/>
      <c r="D604" s="216"/>
      <c r="E604" s="115"/>
      <c r="F604" s="217"/>
      <c r="G604" s="218"/>
    </row>
    <row r="605" spans="1:7">
      <c r="A605" s="211"/>
      <c r="B605" s="211"/>
      <c r="C605" s="211"/>
      <c r="D605" s="216"/>
      <c r="E605" s="115"/>
      <c r="F605" s="217"/>
      <c r="G605" s="218"/>
    </row>
    <row r="606" spans="1:7">
      <c r="A606" s="211"/>
      <c r="B606" s="211"/>
      <c r="C606" s="211"/>
      <c r="D606" s="216"/>
      <c r="E606" s="115"/>
      <c r="F606" s="217"/>
      <c r="G606" s="218"/>
    </row>
    <row r="607" spans="1:7">
      <c r="A607" s="211"/>
      <c r="B607" s="211"/>
      <c r="C607" s="211"/>
      <c r="D607" s="216"/>
      <c r="E607" s="115"/>
      <c r="F607" s="217"/>
      <c r="G607" s="218"/>
    </row>
    <row r="608" spans="1:7">
      <c r="A608" s="211"/>
      <c r="B608" s="211"/>
      <c r="C608" s="211"/>
      <c r="D608" s="216"/>
      <c r="E608" s="115"/>
      <c r="F608" s="217"/>
      <c r="G608" s="218"/>
    </row>
    <row r="609" spans="1:7">
      <c r="A609" s="211"/>
      <c r="B609" s="211"/>
      <c r="C609" s="211"/>
      <c r="D609" s="216"/>
      <c r="E609" s="115"/>
      <c r="F609" s="217"/>
      <c r="G609" s="218"/>
    </row>
    <row r="610" spans="1:7">
      <c r="A610" s="211"/>
      <c r="B610" s="211"/>
      <c r="C610" s="211"/>
      <c r="D610" s="216"/>
      <c r="E610" s="115"/>
      <c r="F610" s="217"/>
      <c r="G610" s="218"/>
    </row>
    <row r="611" spans="1:7">
      <c r="A611" s="211"/>
      <c r="B611" s="211"/>
      <c r="C611" s="211"/>
      <c r="D611" s="216"/>
      <c r="E611" s="115"/>
      <c r="F611" s="217"/>
      <c r="G611" s="218"/>
    </row>
    <row r="612" spans="1:7">
      <c r="A612" s="211"/>
      <c r="B612" s="211"/>
      <c r="C612" s="211"/>
      <c r="D612" s="216"/>
      <c r="E612" s="115"/>
      <c r="F612" s="217"/>
      <c r="G612" s="218"/>
    </row>
    <row r="613" spans="1:7">
      <c r="A613" s="211"/>
      <c r="B613" s="211"/>
      <c r="C613" s="211"/>
      <c r="D613" s="216"/>
      <c r="E613" s="115"/>
      <c r="F613" s="217"/>
      <c r="G613" s="218"/>
    </row>
    <row r="614" spans="1:7">
      <c r="A614" s="211"/>
      <c r="B614" s="211"/>
      <c r="C614" s="211"/>
      <c r="D614" s="216"/>
      <c r="E614" s="115"/>
      <c r="F614" s="217"/>
      <c r="G614" s="218"/>
    </row>
    <row r="615" spans="1:7">
      <c r="A615" s="211"/>
      <c r="B615" s="211"/>
      <c r="C615" s="211"/>
      <c r="D615" s="216"/>
      <c r="E615" s="115"/>
      <c r="F615" s="217"/>
      <c r="G615" s="218"/>
    </row>
    <row r="616" spans="1:7">
      <c r="A616" s="211"/>
      <c r="B616" s="211"/>
      <c r="C616" s="211"/>
      <c r="D616" s="216"/>
      <c r="E616" s="115"/>
      <c r="F616" s="217"/>
      <c r="G616" s="218"/>
    </row>
    <row r="617" spans="1:7">
      <c r="A617" s="211"/>
      <c r="B617" s="211"/>
      <c r="C617" s="211"/>
      <c r="D617" s="216"/>
      <c r="E617" s="115"/>
      <c r="F617" s="217"/>
      <c r="G617" s="218"/>
    </row>
    <row r="618" spans="1:7">
      <c r="A618" s="211"/>
      <c r="B618" s="211"/>
      <c r="C618" s="211"/>
      <c r="D618" s="216"/>
      <c r="E618" s="115"/>
      <c r="F618" s="217"/>
      <c r="G618" s="218"/>
    </row>
    <row r="619" spans="1:7">
      <c r="A619" s="211"/>
      <c r="B619" s="211"/>
      <c r="C619" s="211"/>
      <c r="D619" s="216"/>
      <c r="E619" s="115"/>
      <c r="F619" s="217"/>
      <c r="G619" s="218"/>
    </row>
    <row r="620" spans="1:7">
      <c r="A620" s="211"/>
      <c r="B620" s="211"/>
      <c r="C620" s="211"/>
      <c r="D620" s="216"/>
      <c r="E620" s="115"/>
      <c r="F620" s="217"/>
      <c r="G620" s="218"/>
    </row>
    <row r="621" spans="1:7">
      <c r="A621" s="211"/>
      <c r="B621" s="211"/>
      <c r="C621" s="211"/>
      <c r="D621" s="216"/>
      <c r="E621" s="115"/>
      <c r="F621" s="217"/>
      <c r="G621" s="218"/>
    </row>
    <row r="622" spans="1:7">
      <c r="A622" s="211"/>
      <c r="B622" s="211"/>
      <c r="C622" s="211"/>
      <c r="D622" s="216"/>
      <c r="E622" s="115"/>
      <c r="F622" s="217"/>
      <c r="G622" s="218"/>
    </row>
    <row r="623" spans="1:7">
      <c r="A623" s="211"/>
      <c r="B623" s="211"/>
      <c r="C623" s="211"/>
      <c r="D623" s="216"/>
      <c r="E623" s="115"/>
      <c r="F623" s="217"/>
      <c r="G623" s="218"/>
    </row>
    <row r="624" spans="1:7">
      <c r="A624" s="211"/>
      <c r="B624" s="211"/>
      <c r="C624" s="211"/>
      <c r="D624" s="216"/>
      <c r="E624" s="115"/>
      <c r="F624" s="217"/>
      <c r="G624" s="218"/>
    </row>
    <row r="625" spans="1:7">
      <c r="A625" s="211"/>
      <c r="B625" s="211"/>
      <c r="C625" s="211"/>
      <c r="D625" s="216"/>
      <c r="E625" s="115"/>
      <c r="F625" s="217"/>
      <c r="G625" s="218"/>
    </row>
    <row r="626" spans="1:7">
      <c r="A626" s="211"/>
      <c r="B626" s="211"/>
      <c r="C626" s="211"/>
      <c r="D626" s="216"/>
      <c r="E626" s="115"/>
      <c r="F626" s="217"/>
      <c r="G626" s="218"/>
    </row>
    <row r="627" spans="1:7">
      <c r="A627" s="211"/>
      <c r="B627" s="211"/>
      <c r="C627" s="211"/>
      <c r="D627" s="216"/>
      <c r="E627" s="115"/>
      <c r="F627" s="217"/>
      <c r="G627" s="218"/>
    </row>
    <row r="628" spans="1:7">
      <c r="A628" s="211"/>
      <c r="B628" s="211"/>
      <c r="C628" s="211"/>
      <c r="D628" s="216"/>
      <c r="E628" s="115"/>
      <c r="F628" s="217"/>
      <c r="G628" s="218"/>
    </row>
    <row r="629" spans="1:7">
      <c r="A629" s="211"/>
      <c r="B629" s="211"/>
      <c r="C629" s="211"/>
      <c r="D629" s="216"/>
      <c r="E629" s="115"/>
      <c r="F629" s="217"/>
      <c r="G629" s="218"/>
    </row>
    <row r="630" spans="1:7">
      <c r="A630" s="211"/>
      <c r="B630" s="211"/>
      <c r="C630" s="211"/>
      <c r="D630" s="216"/>
      <c r="E630" s="115"/>
      <c r="F630" s="217"/>
      <c r="G630" s="218"/>
    </row>
    <row r="631" spans="1:7">
      <c r="A631" s="211"/>
      <c r="B631" s="211"/>
      <c r="C631" s="211"/>
      <c r="D631" s="216"/>
      <c r="E631" s="115"/>
      <c r="F631" s="217"/>
      <c r="G631" s="218"/>
    </row>
    <row r="632" spans="1:7">
      <c r="A632" s="211"/>
      <c r="B632" s="211"/>
      <c r="C632" s="211"/>
      <c r="D632" s="216"/>
      <c r="E632" s="115"/>
      <c r="F632" s="217"/>
      <c r="G632" s="218"/>
    </row>
    <row r="633" spans="1:7">
      <c r="A633" s="211"/>
      <c r="B633" s="211"/>
      <c r="C633" s="211"/>
      <c r="D633" s="216"/>
      <c r="E633" s="115"/>
      <c r="F633" s="217"/>
      <c r="G633" s="218"/>
    </row>
    <row r="634" spans="1:7">
      <c r="A634" s="211"/>
      <c r="B634" s="211"/>
      <c r="C634" s="211"/>
      <c r="D634" s="216"/>
      <c r="E634" s="115"/>
      <c r="F634" s="217"/>
      <c r="G634" s="218"/>
    </row>
    <row r="635" spans="1:7">
      <c r="A635" s="211"/>
      <c r="B635" s="211"/>
      <c r="C635" s="211"/>
      <c r="D635" s="216"/>
      <c r="E635" s="115"/>
      <c r="F635" s="217"/>
      <c r="G635" s="218"/>
    </row>
    <row r="636" spans="1:7">
      <c r="A636" s="211"/>
      <c r="B636" s="211"/>
      <c r="C636" s="211"/>
      <c r="D636" s="216"/>
      <c r="E636" s="115"/>
      <c r="F636" s="217"/>
      <c r="G636" s="218"/>
    </row>
    <row r="637" spans="1:7">
      <c r="A637" s="211"/>
      <c r="B637" s="211"/>
      <c r="C637" s="211"/>
      <c r="D637" s="216"/>
      <c r="E637" s="115"/>
      <c r="F637" s="217"/>
      <c r="G637" s="218"/>
    </row>
    <row r="638" spans="1:7">
      <c r="A638" s="211"/>
      <c r="B638" s="211"/>
      <c r="C638" s="211"/>
      <c r="D638" s="216"/>
      <c r="E638" s="115"/>
      <c r="F638" s="217"/>
      <c r="G638" s="218"/>
    </row>
    <row r="639" spans="1:7">
      <c r="A639" s="211"/>
      <c r="B639" s="211"/>
      <c r="C639" s="211"/>
      <c r="D639" s="216"/>
      <c r="E639" s="115"/>
      <c r="F639" s="217"/>
      <c r="G639" s="218"/>
    </row>
    <row r="640" spans="1:7">
      <c r="A640" s="211"/>
      <c r="B640" s="211"/>
      <c r="C640" s="211"/>
      <c r="D640" s="216"/>
      <c r="E640" s="115"/>
      <c r="F640" s="217"/>
      <c r="G640" s="218"/>
    </row>
    <row r="641" spans="1:7">
      <c r="A641" s="211"/>
      <c r="B641" s="211"/>
      <c r="C641" s="211"/>
      <c r="D641" s="216"/>
      <c r="E641" s="115"/>
      <c r="F641" s="217"/>
      <c r="G641" s="218"/>
    </row>
    <row r="642" spans="1:7">
      <c r="A642" s="211"/>
      <c r="B642" s="211"/>
      <c r="C642" s="211"/>
      <c r="D642" s="216"/>
      <c r="E642" s="115"/>
      <c r="F642" s="217"/>
      <c r="G642" s="218"/>
    </row>
    <row r="643" spans="1:7">
      <c r="A643" s="211"/>
      <c r="B643" s="211"/>
      <c r="C643" s="211"/>
      <c r="D643" s="216"/>
      <c r="E643" s="115"/>
      <c r="F643" s="217"/>
      <c r="G643" s="218"/>
    </row>
    <row r="644" spans="1:7">
      <c r="A644" s="211"/>
      <c r="B644" s="211"/>
      <c r="C644" s="211"/>
      <c r="D644" s="216"/>
      <c r="E644" s="115"/>
      <c r="F644" s="217"/>
      <c r="G644" s="218"/>
    </row>
    <row r="645" spans="1:7">
      <c r="A645" s="211"/>
      <c r="B645" s="211"/>
      <c r="C645" s="211"/>
      <c r="D645" s="216"/>
      <c r="E645" s="115"/>
      <c r="F645" s="217"/>
      <c r="G645" s="218"/>
    </row>
    <row r="646" spans="1:7">
      <c r="A646" s="211"/>
      <c r="B646" s="211"/>
      <c r="C646" s="211"/>
      <c r="D646" s="216"/>
      <c r="E646" s="115"/>
      <c r="F646" s="217"/>
      <c r="G646" s="218"/>
    </row>
    <row r="647" spans="1:7">
      <c r="A647" s="211"/>
      <c r="B647" s="211"/>
      <c r="C647" s="211"/>
      <c r="D647" s="216"/>
      <c r="E647" s="115"/>
      <c r="F647" s="217"/>
      <c r="G647" s="218"/>
    </row>
    <row r="648" spans="1:7">
      <c r="A648" s="211"/>
      <c r="B648" s="211"/>
      <c r="C648" s="211"/>
      <c r="D648" s="216"/>
      <c r="E648" s="115"/>
      <c r="F648" s="217"/>
      <c r="G648" s="218"/>
    </row>
    <row r="649" spans="1:7">
      <c r="A649" s="211"/>
      <c r="B649" s="211"/>
      <c r="C649" s="211"/>
      <c r="D649" s="216"/>
      <c r="E649" s="115"/>
      <c r="F649" s="217"/>
      <c r="G649" s="218"/>
    </row>
    <row r="650" spans="1:7">
      <c r="A650" s="211"/>
      <c r="B650" s="211"/>
      <c r="C650" s="211"/>
      <c r="D650" s="216"/>
      <c r="E650" s="115"/>
      <c r="F650" s="217"/>
      <c r="G650" s="218"/>
    </row>
    <row r="651" spans="1:7">
      <c r="A651" s="211"/>
      <c r="B651" s="211"/>
      <c r="C651" s="211"/>
      <c r="D651" s="216"/>
      <c r="E651" s="115"/>
      <c r="F651" s="217"/>
      <c r="G651" s="218"/>
    </row>
    <row r="652" spans="1:7">
      <c r="A652" s="211"/>
      <c r="B652" s="211"/>
      <c r="C652" s="211"/>
      <c r="D652" s="216"/>
      <c r="E652" s="115"/>
      <c r="F652" s="217"/>
      <c r="G652" s="218"/>
    </row>
    <row r="653" spans="1:7">
      <c r="A653" s="211"/>
      <c r="B653" s="211"/>
      <c r="C653" s="211"/>
      <c r="D653" s="216"/>
      <c r="E653" s="115"/>
      <c r="F653" s="217"/>
      <c r="G653" s="218"/>
    </row>
    <row r="654" spans="1:7">
      <c r="A654" s="211"/>
      <c r="B654" s="211"/>
      <c r="C654" s="211"/>
      <c r="D654" s="216"/>
      <c r="E654" s="115"/>
      <c r="F654" s="217"/>
      <c r="G654" s="218"/>
    </row>
    <row r="655" spans="1:7">
      <c r="A655" s="211"/>
      <c r="B655" s="211"/>
      <c r="C655" s="211"/>
      <c r="D655" s="216"/>
      <c r="E655" s="115"/>
      <c r="F655" s="217"/>
      <c r="G655" s="218"/>
    </row>
    <row r="656" spans="1:7">
      <c r="A656" s="211"/>
      <c r="B656" s="211"/>
      <c r="C656" s="211"/>
      <c r="D656" s="216"/>
      <c r="E656" s="115"/>
      <c r="F656" s="217"/>
      <c r="G656" s="218"/>
    </row>
    <row r="657" spans="1:7">
      <c r="A657" s="211"/>
      <c r="B657" s="211"/>
      <c r="C657" s="211"/>
      <c r="D657" s="216"/>
      <c r="E657" s="115"/>
      <c r="F657" s="217"/>
      <c r="G657" s="218"/>
    </row>
    <row r="658" spans="1:7">
      <c r="A658" s="211"/>
      <c r="B658" s="211"/>
      <c r="C658" s="211"/>
      <c r="D658" s="216"/>
      <c r="E658" s="115"/>
      <c r="F658" s="217"/>
      <c r="G658" s="218"/>
    </row>
    <row r="659" spans="1:7">
      <c r="A659" s="211"/>
      <c r="B659" s="211"/>
      <c r="C659" s="211"/>
      <c r="D659" s="216"/>
      <c r="E659" s="115"/>
      <c r="F659" s="217"/>
      <c r="G659" s="218"/>
    </row>
    <row r="660" spans="1:7">
      <c r="A660" s="211"/>
      <c r="B660" s="211"/>
      <c r="C660" s="211"/>
      <c r="D660" s="216"/>
      <c r="E660" s="115"/>
      <c r="F660" s="217"/>
      <c r="G660" s="218"/>
    </row>
    <row r="661" spans="1:7">
      <c r="A661" s="211"/>
      <c r="B661" s="211"/>
      <c r="C661" s="211"/>
      <c r="D661" s="216"/>
      <c r="E661" s="115"/>
      <c r="F661" s="217"/>
      <c r="G661" s="218"/>
    </row>
    <row r="662" spans="1:7">
      <c r="A662" s="211"/>
      <c r="B662" s="211"/>
      <c r="C662" s="211"/>
      <c r="D662" s="216"/>
      <c r="E662" s="115"/>
      <c r="F662" s="217"/>
      <c r="G662" s="218"/>
    </row>
    <row r="663" spans="1:7">
      <c r="A663" s="211"/>
      <c r="B663" s="211"/>
      <c r="C663" s="211"/>
      <c r="D663" s="216"/>
      <c r="E663" s="115"/>
      <c r="F663" s="217"/>
      <c r="G663" s="218"/>
    </row>
    <row r="664" spans="1:7">
      <c r="A664" s="211"/>
      <c r="B664" s="211"/>
      <c r="C664" s="211"/>
      <c r="D664" s="216"/>
      <c r="E664" s="115"/>
      <c r="F664" s="217"/>
      <c r="G664" s="218"/>
    </row>
    <row r="665" spans="1:7">
      <c r="A665" s="211"/>
      <c r="B665" s="211"/>
      <c r="C665" s="211"/>
      <c r="D665" s="216"/>
      <c r="E665" s="115"/>
      <c r="F665" s="217"/>
      <c r="G665" s="218"/>
    </row>
    <row r="666" spans="1:7">
      <c r="A666" s="211"/>
      <c r="B666" s="211"/>
      <c r="C666" s="211"/>
      <c r="D666" s="216"/>
      <c r="E666" s="115"/>
      <c r="F666" s="217"/>
      <c r="G666" s="218"/>
    </row>
    <row r="667" spans="1:7">
      <c r="A667" s="211"/>
      <c r="B667" s="211"/>
      <c r="C667" s="211"/>
      <c r="D667" s="216"/>
      <c r="E667" s="115"/>
      <c r="F667" s="217"/>
      <c r="G667" s="218"/>
    </row>
    <row r="668" spans="1:7">
      <c r="A668" s="211"/>
      <c r="B668" s="211"/>
      <c r="C668" s="211"/>
      <c r="D668" s="216"/>
      <c r="E668" s="115"/>
      <c r="F668" s="217"/>
      <c r="G668" s="218"/>
    </row>
    <row r="669" spans="1:7">
      <c r="A669" s="211"/>
      <c r="B669" s="211"/>
      <c r="C669" s="211"/>
      <c r="D669" s="216"/>
      <c r="E669" s="115"/>
      <c r="F669" s="217"/>
      <c r="G669" s="218"/>
    </row>
    <row r="670" spans="1:7">
      <c r="A670" s="211"/>
      <c r="B670" s="211"/>
      <c r="C670" s="211"/>
      <c r="D670" s="216"/>
      <c r="E670" s="115"/>
      <c r="F670" s="217"/>
      <c r="G670" s="218"/>
    </row>
    <row r="671" spans="1:7">
      <c r="A671" s="211"/>
      <c r="B671" s="211"/>
      <c r="C671" s="211"/>
      <c r="D671" s="216"/>
      <c r="E671" s="115"/>
      <c r="F671" s="217"/>
      <c r="G671" s="218"/>
    </row>
    <row r="672" spans="1:7">
      <c r="A672" s="211"/>
      <c r="B672" s="211"/>
      <c r="C672" s="211"/>
      <c r="D672" s="216"/>
      <c r="E672" s="115"/>
      <c r="F672" s="217"/>
      <c r="G672" s="218"/>
    </row>
    <row r="673" spans="1:7">
      <c r="A673" s="211"/>
      <c r="B673" s="211"/>
      <c r="C673" s="211"/>
      <c r="D673" s="216"/>
      <c r="E673" s="115"/>
      <c r="F673" s="217"/>
      <c r="G673" s="218"/>
    </row>
    <row r="674" spans="1:7">
      <c r="A674" s="211"/>
      <c r="B674" s="211"/>
      <c r="C674" s="211"/>
      <c r="D674" s="216"/>
      <c r="E674" s="115"/>
      <c r="F674" s="217"/>
      <c r="G674" s="218"/>
    </row>
    <row r="675" spans="1:7">
      <c r="A675" s="211"/>
      <c r="B675" s="211"/>
      <c r="C675" s="211"/>
      <c r="D675" s="216"/>
      <c r="E675" s="115"/>
      <c r="F675" s="217"/>
      <c r="G675" s="218"/>
    </row>
    <row r="676" spans="1:7">
      <c r="A676" s="211"/>
      <c r="B676" s="211"/>
      <c r="C676" s="211"/>
      <c r="D676" s="216"/>
      <c r="E676" s="115"/>
      <c r="F676" s="217"/>
      <c r="G676" s="218"/>
    </row>
    <row r="677" spans="1:7">
      <c r="A677" s="211"/>
      <c r="B677" s="211"/>
      <c r="C677" s="211"/>
      <c r="D677" s="216"/>
      <c r="E677" s="115"/>
      <c r="F677" s="217"/>
      <c r="G677" s="218"/>
    </row>
    <row r="678" spans="1:7">
      <c r="A678" s="211"/>
      <c r="B678" s="211"/>
      <c r="C678" s="211"/>
      <c r="D678" s="216"/>
      <c r="E678" s="115"/>
      <c r="F678" s="217"/>
      <c r="G678" s="218"/>
    </row>
    <row r="679" spans="1:7">
      <c r="A679" s="211"/>
      <c r="B679" s="211"/>
      <c r="C679" s="211"/>
      <c r="D679" s="216"/>
      <c r="E679" s="115"/>
      <c r="F679" s="217"/>
      <c r="G679" s="218"/>
    </row>
    <row r="680" spans="1:7">
      <c r="A680" s="211"/>
      <c r="B680" s="211"/>
      <c r="C680" s="211"/>
      <c r="D680" s="216"/>
      <c r="E680" s="115"/>
      <c r="F680" s="217"/>
      <c r="G680" s="218"/>
    </row>
    <row r="681" spans="1:7">
      <c r="A681" s="211"/>
      <c r="B681" s="211"/>
      <c r="C681" s="211"/>
      <c r="D681" s="216"/>
      <c r="E681" s="115"/>
      <c r="F681" s="217"/>
      <c r="G681" s="218"/>
    </row>
    <row r="682" spans="1:7">
      <c r="A682" s="211"/>
      <c r="B682" s="211"/>
      <c r="C682" s="211"/>
      <c r="D682" s="216"/>
      <c r="E682" s="115"/>
      <c r="F682" s="217"/>
      <c r="G682" s="218"/>
    </row>
    <row r="683" spans="1:7">
      <c r="A683" s="211"/>
      <c r="B683" s="211"/>
      <c r="C683" s="211"/>
      <c r="D683" s="216"/>
      <c r="E683" s="115"/>
      <c r="F683" s="217"/>
      <c r="G683" s="218"/>
    </row>
    <row r="684" spans="1:7">
      <c r="A684" s="211"/>
      <c r="B684" s="211"/>
      <c r="C684" s="211"/>
      <c r="D684" s="216"/>
      <c r="E684" s="115"/>
      <c r="F684" s="217"/>
      <c r="G684" s="218"/>
    </row>
    <row r="685" spans="1:7">
      <c r="A685" s="211"/>
      <c r="B685" s="211"/>
      <c r="C685" s="211"/>
      <c r="D685" s="216"/>
      <c r="E685" s="115"/>
      <c r="F685" s="217"/>
      <c r="G685" s="218"/>
    </row>
    <row r="686" spans="1:7">
      <c r="A686" s="211"/>
      <c r="B686" s="211"/>
      <c r="C686" s="211"/>
      <c r="D686" s="216"/>
      <c r="E686" s="115"/>
      <c r="F686" s="217"/>
      <c r="G686" s="218"/>
    </row>
    <row r="687" spans="1:7">
      <c r="A687" s="211"/>
      <c r="B687" s="211"/>
      <c r="C687" s="211"/>
      <c r="D687" s="216"/>
      <c r="E687" s="115"/>
      <c r="F687" s="217"/>
      <c r="G687" s="218"/>
    </row>
    <row r="688" spans="1:7">
      <c r="A688" s="211"/>
      <c r="B688" s="211"/>
      <c r="C688" s="211"/>
      <c r="D688" s="216"/>
      <c r="E688" s="115"/>
      <c r="F688" s="217"/>
      <c r="G688" s="218"/>
    </row>
    <row r="689" spans="1:7">
      <c r="A689" s="211"/>
      <c r="B689" s="211"/>
      <c r="C689" s="211"/>
      <c r="D689" s="216"/>
      <c r="E689" s="115"/>
      <c r="F689" s="217"/>
      <c r="G689" s="218"/>
    </row>
    <row r="690" spans="1:7">
      <c r="A690" s="211"/>
      <c r="B690" s="211"/>
      <c r="C690" s="211"/>
      <c r="D690" s="216"/>
      <c r="E690" s="115"/>
      <c r="F690" s="217"/>
      <c r="G690" s="218"/>
    </row>
    <row r="691" spans="1:7">
      <c r="A691" s="211"/>
      <c r="B691" s="211"/>
      <c r="C691" s="211"/>
      <c r="D691" s="216"/>
      <c r="E691" s="115"/>
      <c r="F691" s="217"/>
      <c r="G691" s="218"/>
    </row>
    <row r="692" spans="1:7">
      <c r="A692" s="211"/>
      <c r="B692" s="211"/>
      <c r="C692" s="211"/>
      <c r="D692" s="216"/>
      <c r="E692" s="115"/>
      <c r="F692" s="217"/>
      <c r="G692" s="218"/>
    </row>
    <row r="693" spans="1:7">
      <c r="A693" s="211"/>
      <c r="B693" s="211"/>
      <c r="C693" s="211"/>
      <c r="D693" s="216"/>
      <c r="E693" s="115"/>
      <c r="F693" s="217"/>
      <c r="G693" s="218"/>
    </row>
    <row r="694" spans="1:7">
      <c r="A694" s="211"/>
      <c r="B694" s="211"/>
      <c r="C694" s="211"/>
      <c r="D694" s="216"/>
      <c r="E694" s="115"/>
      <c r="F694" s="217"/>
      <c r="G694" s="218"/>
    </row>
    <row r="695" spans="1:7">
      <c r="A695" s="211"/>
      <c r="B695" s="211"/>
      <c r="C695" s="211"/>
      <c r="D695" s="216"/>
      <c r="E695" s="115"/>
      <c r="F695" s="217"/>
      <c r="G695" s="218"/>
    </row>
    <row r="696" spans="1:7">
      <c r="A696" s="211"/>
      <c r="B696" s="211"/>
      <c r="C696" s="211"/>
      <c r="D696" s="216"/>
      <c r="E696" s="115"/>
      <c r="F696" s="217"/>
      <c r="G696" s="218"/>
    </row>
    <row r="697" spans="1:7">
      <c r="A697" s="211"/>
      <c r="B697" s="211"/>
      <c r="C697" s="211"/>
      <c r="D697" s="216"/>
      <c r="E697" s="115"/>
      <c r="F697" s="217"/>
      <c r="G697" s="218"/>
    </row>
    <row r="698" spans="1:7">
      <c r="A698" s="211"/>
      <c r="B698" s="211"/>
      <c r="C698" s="211"/>
      <c r="D698" s="216"/>
      <c r="E698" s="115"/>
      <c r="F698" s="217"/>
      <c r="G698" s="218"/>
    </row>
    <row r="699" spans="1:7">
      <c r="A699" s="211"/>
      <c r="B699" s="211"/>
      <c r="C699" s="211"/>
      <c r="D699" s="216"/>
      <c r="E699" s="115"/>
      <c r="F699" s="217"/>
      <c r="G699" s="218"/>
    </row>
    <row r="700" spans="1:7">
      <c r="B700" s="102"/>
      <c r="E700" s="3"/>
      <c r="F700" s="3"/>
    </row>
    <row r="701" spans="1:7">
      <c r="B701" s="102"/>
      <c r="E701" s="3"/>
      <c r="F701" s="3"/>
    </row>
    <row r="702" spans="1:7">
      <c r="B702" s="102"/>
      <c r="E702" s="3"/>
      <c r="F702" s="3"/>
    </row>
    <row r="703" spans="1:7">
      <c r="A703" s="52"/>
      <c r="B703" s="52"/>
      <c r="C703" s="52"/>
      <c r="D703" s="52"/>
      <c r="E703" s="52"/>
    </row>
    <row r="704" spans="1:7">
      <c r="A704" s="34"/>
      <c r="E704" s="242"/>
    </row>
    <row r="705" spans="1:5" ht="13.2">
      <c r="A705" s="34"/>
      <c r="B705" s="243"/>
      <c r="E705" s="242"/>
    </row>
  </sheetData>
  <sheetProtection formatCells="0" formatColumns="0" formatRows="0" insertColumns="0" insertRows="0" insertHyperlinks="0" deleteColumns="0" deleteRows="0" sort="0" autoFilter="0" pivotTables="0"/>
  <mergeCells count="51">
    <mergeCell ref="C590:D590"/>
    <mergeCell ref="C591:D591"/>
    <mergeCell ref="B28:B34"/>
    <mergeCell ref="C582:C584"/>
    <mergeCell ref="A1:G2"/>
    <mergeCell ref="A3:G4"/>
    <mergeCell ref="C585:D585"/>
    <mergeCell ref="C586:D586"/>
    <mergeCell ref="C587:D587"/>
    <mergeCell ref="C588:D588"/>
    <mergeCell ref="C589:D589"/>
    <mergeCell ref="A436:G436"/>
    <mergeCell ref="B469:D469"/>
    <mergeCell ref="A518:G518"/>
    <mergeCell ref="A535:G535"/>
    <mergeCell ref="A572:G572"/>
    <mergeCell ref="A238:G238"/>
    <mergeCell ref="C241:F241"/>
    <mergeCell ref="C249:F249"/>
    <mergeCell ref="A295:G295"/>
    <mergeCell ref="A297:G297"/>
    <mergeCell ref="C183:D183"/>
    <mergeCell ref="C184:D184"/>
    <mergeCell ref="C191:D191"/>
    <mergeCell ref="C192:D192"/>
    <mergeCell ref="C207:D207"/>
    <mergeCell ref="C160:D160"/>
    <mergeCell ref="C167:D167"/>
    <mergeCell ref="C168:D168"/>
    <mergeCell ref="C175:D175"/>
    <mergeCell ref="C176:D176"/>
    <mergeCell ref="C105:D105"/>
    <mergeCell ref="C106:D106"/>
    <mergeCell ref="C121:D121"/>
    <mergeCell ref="A145:G145"/>
    <mergeCell ref="C159:D159"/>
    <mergeCell ref="C82:D82"/>
    <mergeCell ref="C89:D89"/>
    <mergeCell ref="C90:D90"/>
    <mergeCell ref="C97:D97"/>
    <mergeCell ref="C98:D98"/>
    <mergeCell ref="A36:G36"/>
    <mergeCell ref="B39:G39"/>
    <mergeCell ref="A65:G65"/>
    <mergeCell ref="A67:G67"/>
    <mergeCell ref="C81:D81"/>
    <mergeCell ref="A13:G13"/>
    <mergeCell ref="B15:E15"/>
    <mergeCell ref="C18:D18"/>
    <mergeCell ref="C19:D19"/>
    <mergeCell ref="C20:D20"/>
  </mergeCells>
  <pageMargins left="0.25" right="0.25" top="0.75" bottom="0.75" header="0.3" footer="0.3"/>
  <pageSetup paperSize="9" scale="65" fitToHeight="6" orientation="portrait" r:id="rId1"/>
  <rowBreaks count="1" manualBreakCount="1">
    <brk id="437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99"/>
  <sheetViews>
    <sheetView view="pageBreakPreview" topLeftCell="A510" zoomScale="96" zoomScaleNormal="100" zoomScaleSheetLayoutView="96" workbookViewId="0">
      <selection activeCell="A3" sqref="A3:G4"/>
    </sheetView>
  </sheetViews>
  <sheetFormatPr defaultColWidth="11.44140625" defaultRowHeight="11.4"/>
  <cols>
    <col min="1" max="1" width="11.44140625" style="1" customWidth="1"/>
    <col min="2" max="2" width="29.88671875" style="1" customWidth="1"/>
    <col min="3" max="3" width="20.6640625" style="1" customWidth="1"/>
    <col min="4" max="4" width="37.109375" style="1" customWidth="1"/>
    <col min="5" max="5" width="20.33203125" style="1" customWidth="1"/>
    <col min="6" max="6" width="17.88671875" style="1" customWidth="1"/>
    <col min="7" max="7" width="11.44140625" style="1" customWidth="1"/>
    <col min="8" max="8" width="12.6640625" style="52" customWidth="1"/>
    <col min="9" max="9" width="14.6640625" style="52" customWidth="1"/>
    <col min="10" max="16384" width="11.44140625" style="52"/>
  </cols>
  <sheetData>
    <row r="1" spans="1:9" ht="11.25" customHeight="1">
      <c r="A1" s="779" t="s">
        <v>178</v>
      </c>
      <c r="B1" s="730"/>
      <c r="C1" s="730"/>
      <c r="D1" s="730"/>
      <c r="E1" s="730"/>
      <c r="F1" s="730"/>
      <c r="G1" s="730"/>
    </row>
    <row r="2" spans="1:9" ht="11.25" customHeight="1">
      <c r="A2" s="779"/>
      <c r="B2" s="730"/>
      <c r="C2" s="730"/>
      <c r="D2" s="730"/>
      <c r="E2" s="730"/>
      <c r="F2" s="730"/>
      <c r="G2" s="730"/>
    </row>
    <row r="3" spans="1:9" ht="14.25" customHeight="1">
      <c r="A3" s="780" t="s">
        <v>735</v>
      </c>
      <c r="B3" s="780"/>
      <c r="C3" s="780"/>
      <c r="D3" s="780"/>
      <c r="E3" s="780"/>
      <c r="F3" s="780"/>
      <c r="G3" s="780"/>
    </row>
    <row r="4" spans="1:9" ht="30" customHeight="1">
      <c r="A4" s="780"/>
      <c r="B4" s="780"/>
      <c r="C4" s="780"/>
      <c r="D4" s="780"/>
      <c r="E4" s="780"/>
      <c r="F4" s="780"/>
      <c r="G4" s="780"/>
    </row>
    <row r="5" spans="1:9">
      <c r="E5" s="2"/>
      <c r="F5" s="3"/>
      <c r="G5" s="4"/>
    </row>
    <row r="6" spans="1:9" ht="12" thickBot="1">
      <c r="B6" s="6" t="s">
        <v>179</v>
      </c>
      <c r="C6" s="7"/>
      <c r="D6" s="7"/>
      <c r="E6" s="8"/>
      <c r="F6" s="9"/>
    </row>
    <row r="7" spans="1:9" hidden="1">
      <c r="B7" s="338" t="s">
        <v>180</v>
      </c>
      <c r="C7" s="11"/>
      <c r="D7" s="12"/>
      <c r="E7" s="219">
        <v>0</v>
      </c>
      <c r="F7" s="13" t="s">
        <v>181</v>
      </c>
      <c r="G7" s="14"/>
    </row>
    <row r="8" spans="1:9" ht="13.2" hidden="1">
      <c r="B8" s="339" t="s">
        <v>516</v>
      </c>
      <c r="C8" s="16"/>
      <c r="D8" s="17"/>
      <c r="E8" s="414">
        <f>E7/30</f>
        <v>0</v>
      </c>
      <c r="F8" s="360" t="s">
        <v>517</v>
      </c>
      <c r="G8" s="23"/>
      <c r="I8" s="408"/>
    </row>
    <row r="9" spans="1:9">
      <c r="B9" s="338" t="s">
        <v>180</v>
      </c>
      <c r="C9" s="11"/>
      <c r="D9" s="12"/>
      <c r="E9" s="415">
        <v>12</v>
      </c>
      <c r="F9" s="13" t="s">
        <v>183</v>
      </c>
      <c r="G9" s="14"/>
    </row>
    <row r="10" spans="1:9" ht="13.2">
      <c r="B10" s="339" t="s">
        <v>184</v>
      </c>
      <c r="C10" s="16"/>
      <c r="D10" s="17"/>
      <c r="E10" s="18">
        <v>26.08</v>
      </c>
      <c r="F10" s="19" t="s">
        <v>185</v>
      </c>
      <c r="G10" s="20"/>
      <c r="I10" s="400"/>
    </row>
    <row r="11" spans="1:9" ht="15" customHeight="1">
      <c r="B11" s="15" t="s">
        <v>543</v>
      </c>
      <c r="C11" s="16"/>
      <c r="D11" s="17"/>
      <c r="E11" s="18">
        <v>1500</v>
      </c>
      <c r="F11" s="340" t="s">
        <v>460</v>
      </c>
      <c r="G11" s="20"/>
    </row>
    <row r="12" spans="1:9" ht="15" hidden="1" customHeight="1">
      <c r="B12" s="15" t="s">
        <v>544</v>
      </c>
      <c r="C12" s="16"/>
      <c r="D12" s="17"/>
      <c r="E12" s="18">
        <v>0</v>
      </c>
      <c r="F12" s="340" t="s">
        <v>460</v>
      </c>
      <c r="G12" s="398"/>
    </row>
    <row r="13" spans="1:9" ht="13.8">
      <c r="A13" s="757" t="s">
        <v>569</v>
      </c>
      <c r="B13" s="758"/>
      <c r="C13" s="758"/>
      <c r="D13" s="758"/>
      <c r="E13" s="758"/>
      <c r="F13" s="758"/>
      <c r="G13" s="758"/>
    </row>
    <row r="14" spans="1:9" ht="12" thickBot="1">
      <c r="A14" s="3"/>
    </row>
    <row r="15" spans="1:9" hidden="1">
      <c r="A15" s="32"/>
      <c r="B15" s="759" t="s">
        <v>547</v>
      </c>
      <c r="C15" s="760"/>
      <c r="D15" s="760"/>
      <c r="E15" s="761"/>
    </row>
    <row r="16" spans="1:9" ht="12" hidden="1" thickBot="1">
      <c r="A16" s="3"/>
    </row>
    <row r="17" spans="2:8" hidden="1">
      <c r="B17" s="10"/>
      <c r="C17" s="11"/>
      <c r="D17" s="12"/>
      <c r="E17" s="33"/>
      <c r="F17" s="13"/>
      <c r="G17" s="14"/>
    </row>
    <row r="18" spans="2:8" hidden="1">
      <c r="B18" s="86"/>
      <c r="C18" s="764" t="s">
        <v>188</v>
      </c>
      <c r="D18" s="765"/>
      <c r="E18" s="18">
        <v>0</v>
      </c>
      <c r="F18" s="19" t="s">
        <v>189</v>
      </c>
      <c r="G18" s="23"/>
    </row>
    <row r="19" spans="2:8" ht="13.2" hidden="1">
      <c r="B19" s="15"/>
      <c r="C19" s="764" t="s">
        <v>190</v>
      </c>
      <c r="D19" s="765"/>
      <c r="E19" s="18">
        <v>0</v>
      </c>
      <c r="F19" s="19" t="s">
        <v>191</v>
      </c>
      <c r="G19" s="20"/>
    </row>
    <row r="20" spans="2:8" hidden="1">
      <c r="B20" s="15"/>
      <c r="C20" s="764" t="s">
        <v>192</v>
      </c>
      <c r="D20" s="765"/>
      <c r="E20" s="396">
        <v>0</v>
      </c>
      <c r="F20" s="340" t="s">
        <v>193</v>
      </c>
      <c r="G20" s="23"/>
    </row>
    <row r="21" spans="2:8" ht="12" hidden="1" thickBot="1">
      <c r="B21" s="24"/>
      <c r="C21" s="16"/>
      <c r="D21" s="19"/>
      <c r="E21" s="221"/>
      <c r="F21" s="22"/>
      <c r="G21" s="35"/>
    </row>
    <row r="22" spans="2:8">
      <c r="B22" s="338" t="s">
        <v>194</v>
      </c>
      <c r="C22" s="11"/>
      <c r="D22" s="12"/>
      <c r="E22" s="33" t="s">
        <v>195</v>
      </c>
      <c r="F22" s="33"/>
      <c r="G22" s="14"/>
    </row>
    <row r="23" spans="2:8">
      <c r="B23" s="15"/>
      <c r="C23" s="37" t="s">
        <v>196</v>
      </c>
      <c r="D23" s="38">
        <v>1</v>
      </c>
      <c r="E23" s="258">
        <v>12</v>
      </c>
      <c r="F23" s="19" t="s">
        <v>197</v>
      </c>
      <c r="G23" s="23"/>
    </row>
    <row r="24" spans="2:8" ht="12.75" customHeight="1">
      <c r="B24" s="15"/>
      <c r="C24" s="37" t="s">
        <v>198</v>
      </c>
      <c r="D24" s="41">
        <v>0.9</v>
      </c>
      <c r="E24" s="39">
        <v>11</v>
      </c>
      <c r="F24" s="19" t="s">
        <v>197</v>
      </c>
      <c r="G24" s="20"/>
    </row>
    <row r="25" spans="2:8" ht="13.2">
      <c r="B25" s="15"/>
      <c r="C25" s="37" t="s">
        <v>199</v>
      </c>
      <c r="D25" s="41">
        <v>0.1</v>
      </c>
      <c r="E25" s="39">
        <v>1</v>
      </c>
      <c r="F25" s="19" t="s">
        <v>197</v>
      </c>
      <c r="G25" s="20"/>
    </row>
    <row r="26" spans="2:8" ht="12.75" customHeight="1" thickBot="1">
      <c r="B26" s="24"/>
      <c r="C26" s="25"/>
      <c r="D26" s="26"/>
      <c r="E26" s="223"/>
      <c r="F26" s="28"/>
      <c r="G26" s="29"/>
    </row>
    <row r="27" spans="2:8" hidden="1">
      <c r="B27" s="43" t="s">
        <v>200</v>
      </c>
      <c r="C27" s="11"/>
      <c r="D27" s="12"/>
      <c r="E27" s="33"/>
      <c r="F27" s="44"/>
      <c r="G27" s="14"/>
    </row>
    <row r="28" spans="2:8" hidden="1">
      <c r="B28" s="775"/>
      <c r="C28" s="16"/>
      <c r="D28" s="17" t="s">
        <v>201</v>
      </c>
      <c r="E28" s="45" t="s">
        <v>202</v>
      </c>
      <c r="F28" s="45" t="s">
        <v>203</v>
      </c>
      <c r="G28" s="23"/>
    </row>
    <row r="29" spans="2:8" hidden="1">
      <c r="B29" s="775"/>
      <c r="C29" s="16"/>
      <c r="D29" s="37" t="s">
        <v>204</v>
      </c>
      <c r="E29" s="259">
        <v>4</v>
      </c>
      <c r="F29" s="259">
        <v>0</v>
      </c>
      <c r="G29" s="23"/>
    </row>
    <row r="30" spans="2:8" hidden="1">
      <c r="B30" s="775"/>
      <c r="C30" s="16"/>
      <c r="D30" s="37" t="s">
        <v>490</v>
      </c>
      <c r="E30" s="259">
        <v>0</v>
      </c>
      <c r="F30" s="259">
        <v>0</v>
      </c>
      <c r="G30" s="23"/>
    </row>
    <row r="31" spans="2:8" hidden="1">
      <c r="B31" s="775"/>
      <c r="C31" s="16"/>
      <c r="D31" s="37" t="s">
        <v>205</v>
      </c>
      <c r="E31" s="259">
        <v>0</v>
      </c>
      <c r="F31" s="259"/>
      <c r="G31" s="23"/>
    </row>
    <row r="32" spans="2:8" ht="13.2" hidden="1">
      <c r="B32" s="775"/>
      <c r="C32" s="16"/>
      <c r="D32" s="37" t="s">
        <v>206</v>
      </c>
      <c r="E32" s="259">
        <f>ROUND(E25,0)</f>
        <v>1</v>
      </c>
      <c r="F32" s="259" t="s">
        <v>166</v>
      </c>
      <c r="G32" s="20"/>
      <c r="H32" s="226"/>
    </row>
    <row r="33" spans="1:8" hidden="1">
      <c r="B33" s="775"/>
      <c r="C33" s="16"/>
      <c r="D33" s="37" t="s">
        <v>207</v>
      </c>
      <c r="E33" s="39">
        <f>E29+E30</f>
        <v>4</v>
      </c>
      <c r="F33" s="39">
        <v>0</v>
      </c>
      <c r="G33" s="23"/>
      <c r="H33" s="226"/>
    </row>
    <row r="34" spans="1:8" ht="11.25" hidden="1" customHeight="1" thickBot="1">
      <c r="B34" s="776"/>
      <c r="C34" s="25"/>
      <c r="D34" s="48"/>
      <c r="E34" s="48"/>
      <c r="F34" s="48"/>
      <c r="G34" s="49"/>
      <c r="H34" s="226"/>
    </row>
    <row r="35" spans="1:8" ht="12.75" customHeight="1" thickBot="1">
      <c r="C35" s="50"/>
      <c r="D35" s="42"/>
      <c r="H35" s="226"/>
    </row>
    <row r="36" spans="1:8" ht="12.75" hidden="1" customHeight="1">
      <c r="A36" s="757" t="s">
        <v>208</v>
      </c>
      <c r="B36" s="758"/>
      <c r="C36" s="758"/>
      <c r="D36" s="758"/>
      <c r="E36" s="758"/>
      <c r="F36" s="758"/>
      <c r="G36" s="758"/>
      <c r="H36" s="226"/>
    </row>
    <row r="37" spans="1:8" ht="12.75" hidden="1" customHeight="1">
      <c r="H37" s="226"/>
    </row>
    <row r="38" spans="1:8" hidden="1">
      <c r="B38" s="34"/>
      <c r="C38" s="51"/>
      <c r="H38" s="226"/>
    </row>
    <row r="39" spans="1:8" hidden="1">
      <c r="A39" s="52"/>
      <c r="B39" s="766" t="s">
        <v>518</v>
      </c>
      <c r="C39" s="760"/>
      <c r="D39" s="760"/>
      <c r="E39" s="760"/>
      <c r="F39" s="760"/>
      <c r="G39" s="761"/>
      <c r="H39" s="226"/>
    </row>
    <row r="40" spans="1:8" hidden="1">
      <c r="A40" s="52"/>
      <c r="B40" s="244" t="s">
        <v>538</v>
      </c>
      <c r="C40" s="53">
        <v>0</v>
      </c>
      <c r="D40" s="52"/>
      <c r="E40" s="52"/>
      <c r="F40" s="52"/>
      <c r="G40" s="52"/>
      <c r="H40" s="226"/>
    </row>
    <row r="41" spans="1:8" hidden="1">
      <c r="A41" s="52"/>
      <c r="B41" s="244" t="s">
        <v>539</v>
      </c>
      <c r="C41" s="53">
        <v>0</v>
      </c>
      <c r="D41" s="52"/>
      <c r="E41" s="52"/>
      <c r="F41" s="52"/>
      <c r="G41" s="52"/>
      <c r="H41" s="226"/>
    </row>
    <row r="42" spans="1:8" hidden="1">
      <c r="A42" s="52"/>
      <c r="B42" s="244" t="s">
        <v>540</v>
      </c>
      <c r="C42" s="53">
        <v>0</v>
      </c>
      <c r="D42" s="52"/>
      <c r="E42" s="52"/>
      <c r="F42" s="3"/>
      <c r="G42" s="3"/>
    </row>
    <row r="43" spans="1:8" hidden="1">
      <c r="A43" s="52"/>
      <c r="B43" s="244" t="s">
        <v>541</v>
      </c>
      <c r="C43" s="53">
        <v>0</v>
      </c>
      <c r="D43" s="52"/>
      <c r="E43" s="52"/>
      <c r="F43" s="3"/>
      <c r="G43" s="3"/>
    </row>
    <row r="44" spans="1:8" ht="12" hidden="1" thickBot="1"/>
    <row r="45" spans="1:8" hidden="1">
      <c r="B45" s="54"/>
      <c r="C45" s="13"/>
      <c r="D45" s="12"/>
      <c r="E45" s="13"/>
      <c r="F45" s="13"/>
      <c r="G45" s="14"/>
    </row>
    <row r="46" spans="1:8" hidden="1">
      <c r="B46" s="55"/>
      <c r="C46" s="56"/>
      <c r="D46" s="17" t="s">
        <v>212</v>
      </c>
      <c r="E46" s="21">
        <v>0</v>
      </c>
      <c r="F46" s="19"/>
      <c r="G46" s="23"/>
    </row>
    <row r="47" spans="1:8" hidden="1">
      <c r="B47" s="55"/>
      <c r="C47" s="341" t="s">
        <v>213</v>
      </c>
      <c r="D47" s="57" t="s">
        <v>209</v>
      </c>
      <c r="E47" s="21">
        <f>C38*(E29*C42)</f>
        <v>0</v>
      </c>
      <c r="F47" s="19"/>
      <c r="G47" s="23"/>
    </row>
    <row r="48" spans="1:8" ht="12" hidden="1" thickBot="1">
      <c r="B48" s="55"/>
      <c r="C48" s="59"/>
      <c r="D48" s="60" t="s">
        <v>210</v>
      </c>
      <c r="E48" s="21" t="e">
        <f>C38*#REF!</f>
        <v>#REF!</v>
      </c>
      <c r="F48" s="19"/>
      <c r="G48" s="23"/>
    </row>
    <row r="49" spans="1:7" hidden="1">
      <c r="B49" s="55"/>
      <c r="C49" s="56"/>
      <c r="D49" s="17" t="s">
        <v>212</v>
      </c>
      <c r="E49" s="21">
        <v>0</v>
      </c>
      <c r="F49" s="19"/>
      <c r="G49" s="23"/>
    </row>
    <row r="50" spans="1:7" hidden="1">
      <c r="B50" s="55"/>
      <c r="C50" s="341" t="s">
        <v>214</v>
      </c>
      <c r="D50" s="57" t="s">
        <v>209</v>
      </c>
      <c r="E50" s="21">
        <f>C38*(E30*C42)</f>
        <v>0</v>
      </c>
      <c r="F50" s="19"/>
      <c r="G50" s="23"/>
    </row>
    <row r="51" spans="1:7" ht="12" hidden="1" thickBot="1">
      <c r="B51" s="55"/>
      <c r="C51" s="59"/>
      <c r="D51" s="60" t="s">
        <v>211</v>
      </c>
      <c r="E51" s="21" t="e">
        <f>C38*#REF!</f>
        <v>#REF!</v>
      </c>
      <c r="F51" s="19"/>
      <c r="G51" s="23"/>
    </row>
    <row r="52" spans="1:7" hidden="1">
      <c r="B52" s="61"/>
      <c r="C52" s="342" t="s">
        <v>215</v>
      </c>
      <c r="D52" s="57" t="s">
        <v>56</v>
      </c>
      <c r="E52" s="21">
        <f>C40</f>
        <v>0</v>
      </c>
      <c r="F52" s="19"/>
      <c r="G52" s="23"/>
    </row>
    <row r="53" spans="1:7" hidden="1">
      <c r="B53" s="61"/>
      <c r="C53" s="58"/>
      <c r="D53" s="57" t="s">
        <v>209</v>
      </c>
      <c r="E53" s="21">
        <f>C42</f>
        <v>0</v>
      </c>
      <c r="F53" s="19"/>
      <c r="G53" s="23"/>
    </row>
    <row r="54" spans="1:7" ht="12" hidden="1" thickBot="1">
      <c r="B54" s="61"/>
      <c r="C54" s="59"/>
      <c r="D54" s="60" t="s">
        <v>210</v>
      </c>
      <c r="E54" s="21">
        <v>0</v>
      </c>
      <c r="F54" s="19"/>
      <c r="G54" s="23"/>
    </row>
    <row r="55" spans="1:7" hidden="1">
      <c r="B55" s="15"/>
      <c r="C55" s="342" t="s">
        <v>216</v>
      </c>
      <c r="D55" s="57" t="s">
        <v>56</v>
      </c>
      <c r="E55" s="21">
        <f>C41</f>
        <v>0</v>
      </c>
      <c r="F55" s="19"/>
      <c r="G55" s="23"/>
    </row>
    <row r="56" spans="1:7" hidden="1">
      <c r="B56" s="15"/>
      <c r="C56" s="58"/>
      <c r="D56" s="57" t="s">
        <v>209</v>
      </c>
      <c r="E56" s="21">
        <f>C43</f>
        <v>0</v>
      </c>
      <c r="F56" s="19"/>
      <c r="G56" s="23"/>
    </row>
    <row r="57" spans="1:7" ht="13.8" hidden="1" thickBot="1">
      <c r="B57" s="15"/>
      <c r="C57" s="59"/>
      <c r="D57" s="60" t="s">
        <v>211</v>
      </c>
      <c r="E57" s="18">
        <v>0</v>
      </c>
      <c r="F57" s="19"/>
      <c r="G57" s="20"/>
    </row>
    <row r="58" spans="1:7" hidden="1">
      <c r="B58" s="15"/>
      <c r="C58" s="342" t="s">
        <v>217</v>
      </c>
      <c r="D58" s="17" t="s">
        <v>56</v>
      </c>
      <c r="E58" s="21">
        <f>E52+E55</f>
        <v>0</v>
      </c>
      <c r="F58" s="19"/>
      <c r="G58" s="23"/>
    </row>
    <row r="59" spans="1:7" hidden="1">
      <c r="B59" s="15"/>
      <c r="C59" s="117" t="s">
        <v>218</v>
      </c>
      <c r="D59" s="17" t="s">
        <v>209</v>
      </c>
      <c r="E59" s="21">
        <f>E53+E56</f>
        <v>0</v>
      </c>
      <c r="F59" s="19"/>
      <c r="G59" s="23"/>
    </row>
    <row r="60" spans="1:7" hidden="1">
      <c r="B60" s="15"/>
      <c r="C60" s="117"/>
      <c r="D60" s="17" t="s">
        <v>212</v>
      </c>
      <c r="E60" s="21">
        <f>E46+E49</f>
        <v>0</v>
      </c>
      <c r="F60" s="19"/>
      <c r="G60" s="23"/>
    </row>
    <row r="61" spans="1:7" hidden="1">
      <c r="B61" s="15"/>
      <c r="C61" s="117"/>
      <c r="D61" s="17" t="s">
        <v>219</v>
      </c>
      <c r="E61" s="21">
        <f>E54+E57</f>
        <v>0</v>
      </c>
      <c r="F61" s="19"/>
      <c r="G61" s="35"/>
    </row>
    <row r="62" spans="1:7" ht="12" hidden="1" thickBot="1">
      <c r="B62" s="24"/>
      <c r="C62" s="25"/>
      <c r="D62" s="26"/>
      <c r="E62" s="28"/>
      <c r="F62" s="28"/>
      <c r="G62" s="29"/>
    </row>
    <row r="63" spans="1:7" hidden="1">
      <c r="C63" s="63"/>
      <c r="D63" s="64"/>
      <c r="F63" s="65"/>
      <c r="G63" s="63"/>
    </row>
    <row r="64" spans="1:7" ht="13.8" hidden="1">
      <c r="A64" s="757" t="s">
        <v>220</v>
      </c>
      <c r="B64" s="758"/>
      <c r="C64" s="758"/>
      <c r="D64" s="758"/>
      <c r="E64" s="758"/>
      <c r="F64" s="758"/>
      <c r="G64" s="758"/>
    </row>
    <row r="65" spans="1:8" hidden="1"/>
    <row r="66" spans="1:8" hidden="1">
      <c r="A66" s="767" t="s">
        <v>221</v>
      </c>
      <c r="B66" s="767"/>
      <c r="C66" s="767"/>
      <c r="D66" s="767"/>
      <c r="E66" s="767"/>
      <c r="F66" s="767"/>
      <c r="G66" s="767"/>
    </row>
    <row r="67" spans="1:8" ht="12" hidden="1" thickBot="1"/>
    <row r="68" spans="1:8" hidden="1">
      <c r="B68" s="343" t="s">
        <v>222</v>
      </c>
      <c r="C68" s="67" t="s">
        <v>223</v>
      </c>
      <c r="D68" s="67" t="s">
        <v>224</v>
      </c>
      <c r="E68" s="68" t="s">
        <v>225</v>
      </c>
      <c r="F68" s="13"/>
      <c r="G68" s="14"/>
    </row>
    <row r="69" spans="1:8" hidden="1">
      <c r="B69" s="69" t="s">
        <v>56</v>
      </c>
      <c r="C69" s="70">
        <f>E52</f>
        <v>0</v>
      </c>
      <c r="D69" s="71">
        <v>2361.75</v>
      </c>
      <c r="E69" s="72">
        <f>+D69*C69</f>
        <v>0</v>
      </c>
      <c r="F69" s="19"/>
      <c r="G69" s="23"/>
    </row>
    <row r="70" spans="1:8" hidden="1">
      <c r="B70" s="358" t="s">
        <v>519</v>
      </c>
      <c r="C70" s="70">
        <f>E53</f>
        <v>0</v>
      </c>
      <c r="D70" s="71">
        <v>1423.98</v>
      </c>
      <c r="E70" s="72">
        <f>+D70*C70</f>
        <v>0</v>
      </c>
      <c r="F70" s="19"/>
      <c r="G70" s="23"/>
      <c r="H70" s="400">
        <f>D69+D75</f>
        <v>2929.75</v>
      </c>
    </row>
    <row r="71" spans="1:8" hidden="1">
      <c r="B71" s="69" t="s">
        <v>227</v>
      </c>
      <c r="C71" s="70">
        <f>E60</f>
        <v>0</v>
      </c>
      <c r="D71" s="71">
        <f>'DADOS DE ENTRADA'!B21</f>
        <v>1342.9</v>
      </c>
      <c r="E71" s="72">
        <f>+D71*C71</f>
        <v>0</v>
      </c>
      <c r="F71" s="19"/>
      <c r="G71" s="23"/>
    </row>
    <row r="72" spans="1:8" hidden="1">
      <c r="B72" s="73"/>
      <c r="C72" s="74"/>
      <c r="D72" s="75" t="s">
        <v>228</v>
      </c>
      <c r="E72" s="76">
        <f>SUM(E69:E71)</f>
        <v>0</v>
      </c>
      <c r="F72" s="77" t="s">
        <v>229</v>
      </c>
      <c r="G72" s="23"/>
      <c r="H72" s="400">
        <f>D70+D76</f>
        <v>1991.98</v>
      </c>
    </row>
    <row r="73" spans="1:8" hidden="1">
      <c r="B73" s="78"/>
      <c r="C73" s="79"/>
      <c r="D73" s="19"/>
      <c r="E73" s="80"/>
      <c r="F73" s="80"/>
      <c r="G73" s="23"/>
    </row>
    <row r="74" spans="1:8" hidden="1">
      <c r="B74" s="81" t="s">
        <v>230</v>
      </c>
      <c r="C74" s="82" t="s">
        <v>223</v>
      </c>
      <c r="D74" s="83" t="s">
        <v>224</v>
      </c>
      <c r="E74" s="83" t="s">
        <v>225</v>
      </c>
      <c r="F74" s="19"/>
      <c r="G74" s="23"/>
    </row>
    <row r="75" spans="1:8" hidden="1">
      <c r="B75" s="69" t="s">
        <v>56</v>
      </c>
      <c r="C75" s="70">
        <f>E52</f>
        <v>0</v>
      </c>
      <c r="D75" s="71">
        <v>568</v>
      </c>
      <c r="E75" s="72">
        <f>+D75*C75</f>
        <v>0</v>
      </c>
      <c r="F75" s="19"/>
      <c r="G75" s="23"/>
    </row>
    <row r="76" spans="1:8" hidden="1">
      <c r="B76" s="358" t="s">
        <v>519</v>
      </c>
      <c r="C76" s="70">
        <f>E53</f>
        <v>0</v>
      </c>
      <c r="D76" s="71">
        <f>D75</f>
        <v>568</v>
      </c>
      <c r="E76" s="72">
        <f>+D76*C76</f>
        <v>0</v>
      </c>
      <c r="F76" s="19"/>
      <c r="G76" s="23"/>
    </row>
    <row r="77" spans="1:8" hidden="1">
      <c r="B77" s="69" t="s">
        <v>227</v>
      </c>
      <c r="C77" s="70">
        <f>C71</f>
        <v>0</v>
      </c>
      <c r="D77" s="71">
        <f>'DADOS DE ENTRADA'!B24*'DADOS DE ENTRADA'!B33</f>
        <v>242.4</v>
      </c>
      <c r="E77" s="72">
        <f>+D77*C77</f>
        <v>0</v>
      </c>
      <c r="F77" s="19"/>
      <c r="G77" s="23"/>
    </row>
    <row r="78" spans="1:8" hidden="1">
      <c r="B78" s="73"/>
      <c r="C78" s="74"/>
      <c r="D78" s="75" t="s">
        <v>231</v>
      </c>
      <c r="E78" s="76">
        <f>SUM(E75:E77)</f>
        <v>0</v>
      </c>
      <c r="F78" s="77" t="s">
        <v>229</v>
      </c>
      <c r="G78" s="23"/>
    </row>
    <row r="79" spans="1:8" hidden="1">
      <c r="B79" s="78"/>
      <c r="C79" s="79"/>
      <c r="D79" s="74"/>
      <c r="E79" s="80"/>
      <c r="F79" s="80"/>
      <c r="G79" s="23"/>
    </row>
    <row r="80" spans="1:8" hidden="1">
      <c r="B80" s="81" t="s">
        <v>232</v>
      </c>
      <c r="C80" s="768" t="s">
        <v>233</v>
      </c>
      <c r="D80" s="769"/>
      <c r="E80" s="83">
        <v>0</v>
      </c>
      <c r="F80" s="245"/>
      <c r="G80" s="23"/>
    </row>
    <row r="81" spans="2:8" hidden="1">
      <c r="B81" s="81"/>
      <c r="C81" s="768" t="s">
        <v>234</v>
      </c>
      <c r="D81" s="769"/>
      <c r="E81" s="83">
        <v>0</v>
      </c>
      <c r="F81" s="245"/>
      <c r="G81" s="23"/>
    </row>
    <row r="82" spans="2:8" hidden="1">
      <c r="B82" s="81"/>
      <c r="C82" s="82" t="s">
        <v>223</v>
      </c>
      <c r="D82" s="83" t="s">
        <v>224</v>
      </c>
      <c r="E82" s="83" t="s">
        <v>225</v>
      </c>
      <c r="F82" s="19"/>
      <c r="G82" s="23"/>
      <c r="H82" s="226"/>
    </row>
    <row r="83" spans="2:8" hidden="1">
      <c r="B83" s="69" t="s">
        <v>56</v>
      </c>
      <c r="C83" s="70">
        <f>E52</f>
        <v>0</v>
      </c>
      <c r="D83" s="71">
        <f>(('DADOS DE ENTRADA'!B23+D75)/'DADOS DE ENTRADA'!B9)*'DADOS DE ENTRADA'!B30*E80</f>
        <v>0</v>
      </c>
      <c r="E83" s="72">
        <f>ROUND(+D83*C83,2)</f>
        <v>0</v>
      </c>
      <c r="F83" s="245"/>
      <c r="G83" s="23"/>
      <c r="H83" s="226"/>
    </row>
    <row r="84" spans="2:8" hidden="1">
      <c r="B84" s="69" t="s">
        <v>226</v>
      </c>
      <c r="C84" s="70">
        <f>E53</f>
        <v>0</v>
      </c>
      <c r="D84" s="71">
        <f>(('DADOS DE ENTRADA'!B14+D76)/'DADOS DE ENTRADA'!B9)*'DADOS DE ENTRADA'!B30*E81</f>
        <v>0</v>
      </c>
      <c r="E84" s="72">
        <f>+D84*C84</f>
        <v>0</v>
      </c>
      <c r="F84" s="19"/>
      <c r="G84" s="23"/>
    </row>
    <row r="85" spans="2:8" hidden="1">
      <c r="B85" s="69" t="s">
        <v>227</v>
      </c>
      <c r="C85" s="70">
        <v>2</v>
      </c>
      <c r="D85" s="71">
        <f>(('DADOS DE ENTRADA'!B21+D77)/'DADOS DE ENTRADA'!B9)*'DADOS DE ENTRADA'!B30*E81</f>
        <v>0</v>
      </c>
      <c r="E85" s="72">
        <f>D85*C85</f>
        <v>0</v>
      </c>
      <c r="F85" s="19"/>
      <c r="G85" s="23"/>
    </row>
    <row r="86" spans="2:8" hidden="1">
      <c r="B86" s="73"/>
      <c r="C86" s="74"/>
      <c r="D86" s="75" t="s">
        <v>235</v>
      </c>
      <c r="E86" s="76">
        <f>ROUND(SUM(E83:E85),2)</f>
        <v>0</v>
      </c>
      <c r="F86" s="77" t="s">
        <v>229</v>
      </c>
      <c r="G86" s="23"/>
    </row>
    <row r="87" spans="2:8" hidden="1">
      <c r="B87" s="78"/>
      <c r="C87" s="84"/>
      <c r="D87" s="74"/>
      <c r="E87" s="80"/>
      <c r="F87" s="85"/>
      <c r="G87" s="23"/>
    </row>
    <row r="88" spans="2:8" hidden="1">
      <c r="B88" s="81" t="s">
        <v>236</v>
      </c>
      <c r="C88" s="768" t="s">
        <v>237</v>
      </c>
      <c r="D88" s="769"/>
      <c r="E88" s="83">
        <v>0</v>
      </c>
      <c r="F88" s="245"/>
      <c r="G88" s="23"/>
    </row>
    <row r="89" spans="2:8" hidden="1">
      <c r="B89" s="246" t="s">
        <v>238</v>
      </c>
      <c r="C89" s="768" t="s">
        <v>234</v>
      </c>
      <c r="D89" s="769"/>
      <c r="E89" s="83">
        <v>0</v>
      </c>
      <c r="F89" s="245"/>
      <c r="G89" s="23"/>
    </row>
    <row r="90" spans="2:8" hidden="1">
      <c r="B90" s="246"/>
      <c r="C90" s="82" t="s">
        <v>223</v>
      </c>
      <c r="D90" s="83" t="s">
        <v>224</v>
      </c>
      <c r="E90" s="83" t="s">
        <v>225</v>
      </c>
      <c r="F90" s="19"/>
      <c r="G90" s="23"/>
    </row>
    <row r="91" spans="2:8" hidden="1">
      <c r="B91" s="69" t="s">
        <v>56</v>
      </c>
      <c r="C91" s="70">
        <f>E52</f>
        <v>0</v>
      </c>
      <c r="D91" s="71">
        <f>(('DADOS DE ENTRADA'!B23+D75)/'DADOS DE ENTRADA'!B9)*'DADOS DE ENTRADA'!B31*E88</f>
        <v>0</v>
      </c>
      <c r="E91" s="72">
        <f>ROUND(+D91*C91,2)</f>
        <v>0</v>
      </c>
      <c r="F91" s="245"/>
      <c r="G91" s="23"/>
    </row>
    <row r="92" spans="2:8" hidden="1">
      <c r="B92" s="69" t="s">
        <v>226</v>
      </c>
      <c r="C92" s="70">
        <f>E53</f>
        <v>0</v>
      </c>
      <c r="D92" s="71">
        <f>(('DADOS DE ENTRADA'!B14+D76)/'DADOS DE ENTRADA'!B9)*'DADOS DE ENTRADA'!B31*E89</f>
        <v>0</v>
      </c>
      <c r="E92" s="72">
        <f>+D92*C92</f>
        <v>0</v>
      </c>
      <c r="F92" s="19"/>
      <c r="G92" s="23"/>
    </row>
    <row r="93" spans="2:8" hidden="1">
      <c r="B93" s="69" t="s">
        <v>227</v>
      </c>
      <c r="C93" s="70">
        <v>0</v>
      </c>
      <c r="D93" s="71">
        <f>(('DADOS DE ENTRADA'!B21+D77)/'DADOS DE ENTRADA'!B9)*'DADOS DE ENTRADA'!B31*E89</f>
        <v>0</v>
      </c>
      <c r="E93" s="72">
        <f>D93*C93</f>
        <v>0</v>
      </c>
      <c r="F93" s="19"/>
      <c r="G93" s="23"/>
    </row>
    <row r="94" spans="2:8" hidden="1">
      <c r="B94" s="73"/>
      <c r="C94" s="74"/>
      <c r="D94" s="75" t="s">
        <v>239</v>
      </c>
      <c r="E94" s="76">
        <f>ROUND(SUM(E91:E93),2)</f>
        <v>0</v>
      </c>
      <c r="F94" s="77" t="s">
        <v>229</v>
      </c>
      <c r="G94" s="23"/>
    </row>
    <row r="95" spans="2:8" hidden="1">
      <c r="B95" s="78"/>
      <c r="C95" s="84"/>
      <c r="D95" s="74"/>
      <c r="E95" s="80"/>
      <c r="F95" s="85"/>
      <c r="G95" s="23"/>
    </row>
    <row r="96" spans="2:8" hidden="1">
      <c r="B96" s="81" t="s">
        <v>240</v>
      </c>
      <c r="C96" s="768" t="s">
        <v>237</v>
      </c>
      <c r="D96" s="769"/>
      <c r="E96" s="83">
        <f>4.33*7.83</f>
        <v>33.9039</v>
      </c>
      <c r="F96" s="245"/>
      <c r="G96" s="23"/>
    </row>
    <row r="97" spans="2:7" hidden="1">
      <c r="B97" s="246" t="s">
        <v>241</v>
      </c>
      <c r="C97" s="768" t="s">
        <v>234</v>
      </c>
      <c r="D97" s="769"/>
      <c r="E97" s="83">
        <f>4.33*7.33</f>
        <v>31.738900000000001</v>
      </c>
      <c r="F97" s="245"/>
      <c r="G97" s="23"/>
    </row>
    <row r="98" spans="2:7" hidden="1">
      <c r="B98" s="246"/>
      <c r="C98" s="82" t="s">
        <v>223</v>
      </c>
      <c r="D98" s="83" t="s">
        <v>224</v>
      </c>
      <c r="E98" s="83" t="s">
        <v>225</v>
      </c>
      <c r="F98" s="19"/>
      <c r="G98" s="23"/>
    </row>
    <row r="99" spans="2:7" hidden="1">
      <c r="B99" s="69" t="s">
        <v>56</v>
      </c>
      <c r="C99" s="70">
        <v>0</v>
      </c>
      <c r="D99" s="71">
        <f>(('DADOS DE ENTRADA'!B23+D75)/'DADOS DE ENTRADA'!B9)*'DADOS DE ENTRADA'!B31*E96</f>
        <v>948.41536990909083</v>
      </c>
      <c r="E99" s="72">
        <f>ROUND(+D99*C99,2)</f>
        <v>0</v>
      </c>
      <c r="F99" s="245"/>
      <c r="G99" s="23"/>
    </row>
    <row r="100" spans="2:7" hidden="1">
      <c r="B100" s="69" t="s">
        <v>226</v>
      </c>
      <c r="C100" s="70">
        <v>0</v>
      </c>
      <c r="D100" s="71">
        <f>(('DADOS DE ENTRADA'!B14+D76)/'DADOS DE ENTRADA'!B9)*'DADOS DE ENTRADA'!B31*E97</f>
        <v>516.36882016363631</v>
      </c>
      <c r="E100" s="72">
        <f>+D100*C100</f>
        <v>0</v>
      </c>
      <c r="F100" s="19"/>
      <c r="G100" s="23"/>
    </row>
    <row r="101" spans="2:7" hidden="1">
      <c r="B101" s="69" t="s">
        <v>227</v>
      </c>
      <c r="C101" s="70">
        <v>0</v>
      </c>
      <c r="D101" s="71">
        <f>(('DADOS DE ENTRADA'!B21+D77)/'DADOS DE ENTRADA'!B9)*'DADOS DE ENTRADA'!B31*E97</f>
        <v>457.41525609090917</v>
      </c>
      <c r="E101" s="72">
        <f>D101*C101</f>
        <v>0</v>
      </c>
      <c r="F101" s="19"/>
      <c r="G101" s="23"/>
    </row>
    <row r="102" spans="2:7" hidden="1">
      <c r="B102" s="73"/>
      <c r="C102" s="74"/>
      <c r="D102" s="75" t="s">
        <v>242</v>
      </c>
      <c r="E102" s="76">
        <f>ROUND(SUM(E99:E101),2)</f>
        <v>0</v>
      </c>
      <c r="F102" s="77" t="s">
        <v>229</v>
      </c>
      <c r="G102" s="23"/>
    </row>
    <row r="103" spans="2:7" hidden="1">
      <c r="B103" s="78"/>
      <c r="C103" s="84"/>
      <c r="D103" s="74"/>
      <c r="E103" s="80"/>
      <c r="F103" s="85"/>
      <c r="G103" s="23"/>
    </row>
    <row r="104" spans="2:7" hidden="1">
      <c r="B104" s="81" t="s">
        <v>243</v>
      </c>
      <c r="C104" s="768" t="s">
        <v>244</v>
      </c>
      <c r="D104" s="769"/>
      <c r="E104" s="83">
        <f>4.33+1.08</f>
        <v>5.41</v>
      </c>
      <c r="F104" s="85"/>
      <c r="G104" s="23"/>
    </row>
    <row r="105" spans="2:7" hidden="1">
      <c r="B105" s="81"/>
      <c r="C105" s="768" t="s">
        <v>5</v>
      </c>
      <c r="D105" s="769"/>
      <c r="E105" s="83">
        <f>'DADOS DE ENTRADA'!B5</f>
        <v>26.09</v>
      </c>
      <c r="F105" s="85"/>
      <c r="G105" s="23"/>
    </row>
    <row r="106" spans="2:7" hidden="1">
      <c r="B106" s="81"/>
      <c r="C106" s="82" t="s">
        <v>223</v>
      </c>
      <c r="D106" s="83" t="s">
        <v>224</v>
      </c>
      <c r="E106" s="83" t="s">
        <v>225</v>
      </c>
      <c r="F106" s="85"/>
      <c r="G106" s="23"/>
    </row>
    <row r="107" spans="2:7" hidden="1">
      <c r="B107" s="69" t="s">
        <v>56</v>
      </c>
      <c r="C107" s="70">
        <v>0</v>
      </c>
      <c r="D107" s="71">
        <f>((D83+D91+D99)/$E$105)*$E$104</f>
        <v>196.66259682668385</v>
      </c>
      <c r="E107" s="72">
        <f>ROUND(+D107*C107,2)</f>
        <v>0</v>
      </c>
      <c r="F107" s="85"/>
      <c r="G107" s="23"/>
    </row>
    <row r="108" spans="2:7" hidden="1">
      <c r="B108" s="69" t="s">
        <v>226</v>
      </c>
      <c r="C108" s="70">
        <v>0</v>
      </c>
      <c r="D108" s="71">
        <f>((D84+D92+D100)/$E$105)*$E$104</f>
        <v>107.0737952121607</v>
      </c>
      <c r="E108" s="72">
        <f>+D108*C108</f>
        <v>0</v>
      </c>
      <c r="F108" s="85"/>
      <c r="G108" s="23"/>
    </row>
    <row r="109" spans="2:7" hidden="1">
      <c r="B109" s="69" t="s">
        <v>227</v>
      </c>
      <c r="C109" s="70">
        <v>0</v>
      </c>
      <c r="D109" s="71">
        <f>((D85+D93+D101)/$E$105)*$E$104</f>
        <v>94.8492347815952</v>
      </c>
      <c r="E109" s="72">
        <f>D109*C109</f>
        <v>0</v>
      </c>
      <c r="F109" s="85"/>
      <c r="G109" s="23"/>
    </row>
    <row r="110" spans="2:7" hidden="1">
      <c r="B110" s="73"/>
      <c r="C110" s="74"/>
      <c r="D110" s="75" t="s">
        <v>245</v>
      </c>
      <c r="E110" s="76">
        <f>ROUND(SUM(E107:E109),2)</f>
        <v>0</v>
      </c>
      <c r="F110" s="85"/>
      <c r="G110" s="23"/>
    </row>
    <row r="111" spans="2:7" hidden="1">
      <c r="B111" s="78"/>
      <c r="C111" s="84"/>
      <c r="D111" s="74"/>
      <c r="E111" s="80"/>
      <c r="F111" s="85"/>
      <c r="G111" s="23"/>
    </row>
    <row r="112" spans="2:7" hidden="1">
      <c r="B112" s="86"/>
      <c r="C112" s="19"/>
      <c r="D112" s="344" t="s">
        <v>246</v>
      </c>
      <c r="E112" s="76">
        <f>ROUND(E78+E72+E86+E94+E102+E110,2)</f>
        <v>0</v>
      </c>
      <c r="F112" s="77" t="s">
        <v>229</v>
      </c>
      <c r="G112" s="23"/>
    </row>
    <row r="113" spans="1:7" hidden="1">
      <c r="B113" s="78"/>
      <c r="C113" s="19"/>
      <c r="D113" s="19"/>
      <c r="E113" s="80"/>
      <c r="F113" s="80"/>
      <c r="G113" s="23"/>
    </row>
    <row r="114" spans="1:7" hidden="1">
      <c r="B114" s="345" t="s">
        <v>247</v>
      </c>
      <c r="C114" s="82" t="s">
        <v>223</v>
      </c>
      <c r="D114" s="83" t="s">
        <v>224</v>
      </c>
      <c r="E114" s="83" t="s">
        <v>225</v>
      </c>
      <c r="F114" s="19"/>
      <c r="G114" s="23"/>
    </row>
    <row r="115" spans="1:7" hidden="1">
      <c r="B115" s="346" t="s">
        <v>248</v>
      </c>
      <c r="C115" s="88">
        <v>0.95</v>
      </c>
      <c r="D115" s="89">
        <f>E112*C115</f>
        <v>0</v>
      </c>
      <c r="E115" s="72">
        <f>ROUND(+D115,2)</f>
        <v>0</v>
      </c>
      <c r="F115" s="19"/>
      <c r="G115" s="23"/>
    </row>
    <row r="116" spans="1:7" hidden="1">
      <c r="B116" s="73"/>
      <c r="C116" s="79"/>
      <c r="D116" s="75" t="s">
        <v>249</v>
      </c>
      <c r="E116" s="76">
        <f>ROUND(SUM(E115),2)</f>
        <v>0</v>
      </c>
      <c r="F116" s="77" t="s">
        <v>229</v>
      </c>
      <c r="G116" s="23"/>
    </row>
    <row r="117" spans="1:7" hidden="1">
      <c r="B117" s="78"/>
      <c r="C117" s="19"/>
      <c r="D117" s="19"/>
      <c r="E117" s="80"/>
      <c r="F117" s="80"/>
      <c r="G117" s="23"/>
    </row>
    <row r="118" spans="1:7" hidden="1">
      <c r="B118" s="86"/>
      <c r="C118" s="19"/>
      <c r="D118" s="344" t="s">
        <v>250</v>
      </c>
      <c r="E118" s="76">
        <f>ROUND(+E116+E112,2)</f>
        <v>0</v>
      </c>
      <c r="F118" s="77" t="s">
        <v>229</v>
      </c>
      <c r="G118" s="23"/>
    </row>
    <row r="119" spans="1:7" hidden="1">
      <c r="B119" s="86"/>
      <c r="C119" s="19"/>
      <c r="D119" s="19"/>
      <c r="E119" s="85"/>
      <c r="F119" s="19"/>
      <c r="G119" s="23"/>
    </row>
    <row r="120" spans="1:7" hidden="1">
      <c r="A120" s="91"/>
      <c r="B120" s="345" t="s">
        <v>549</v>
      </c>
      <c r="C120" s="768"/>
      <c r="D120" s="769"/>
      <c r="E120" s="83"/>
      <c r="F120" s="19"/>
      <c r="G120" s="92"/>
    </row>
    <row r="121" spans="1:7" hidden="1">
      <c r="A121" s="91"/>
      <c r="B121" s="86"/>
      <c r="C121" s="82" t="s">
        <v>223</v>
      </c>
      <c r="D121" s="83" t="s">
        <v>224</v>
      </c>
      <c r="E121" s="83" t="s">
        <v>225</v>
      </c>
      <c r="F121" s="19"/>
      <c r="G121" s="92"/>
    </row>
    <row r="122" spans="1:7" hidden="1">
      <c r="B122" s="69" t="s">
        <v>56</v>
      </c>
      <c r="C122" s="70">
        <f>C75</f>
        <v>0</v>
      </c>
      <c r="D122" s="71">
        <f>4.95*52-0.006*H70</f>
        <v>239.82150000000004</v>
      </c>
      <c r="E122" s="72">
        <f>+D122*C122</f>
        <v>0</v>
      </c>
      <c r="F122" s="19"/>
      <c r="G122" s="92"/>
    </row>
    <row r="123" spans="1:7" hidden="1">
      <c r="B123" s="69" t="s">
        <v>519</v>
      </c>
      <c r="C123" s="70">
        <f>C76</f>
        <v>0</v>
      </c>
      <c r="D123" s="71">
        <f>4.95*52-0.006*H72</f>
        <v>245.44812000000005</v>
      </c>
      <c r="E123" s="72">
        <f>+D123*C123</f>
        <v>0</v>
      </c>
      <c r="F123" s="19"/>
      <c r="G123" s="92"/>
    </row>
    <row r="124" spans="1:7" hidden="1">
      <c r="B124" s="69" t="s">
        <v>227</v>
      </c>
      <c r="C124" s="70">
        <v>0</v>
      </c>
      <c r="D124" s="71">
        <f>IF((('DADOS DE ENTRADA'!B5*'DADOS DE ENTRADA'!B36*E120)-(6%*'DADOS DE ENTRADA'!B21))&lt;0,0,('DADOS DE ENTRADA'!B5*'DADOS DE ENTRADA'!B36*E120)-(6%*'DADOS DE ENTRADA'!B21))</f>
        <v>0</v>
      </c>
      <c r="E124" s="72">
        <f>D124*C124</f>
        <v>0</v>
      </c>
      <c r="F124" s="19"/>
      <c r="G124" s="92"/>
    </row>
    <row r="125" spans="1:7" ht="12" hidden="1" customHeight="1">
      <c r="A125" s="34"/>
      <c r="B125" s="73"/>
      <c r="C125" s="74"/>
      <c r="D125" s="75" t="s">
        <v>251</v>
      </c>
      <c r="E125" s="76">
        <f>SUM(E122:E124)</f>
        <v>0</v>
      </c>
      <c r="F125" s="77" t="s">
        <v>229</v>
      </c>
      <c r="G125" s="92"/>
    </row>
    <row r="126" spans="1:7" hidden="1">
      <c r="B126" s="78"/>
      <c r="C126" s="79"/>
      <c r="D126" s="74"/>
      <c r="E126" s="74"/>
      <c r="F126" s="93"/>
      <c r="G126" s="23"/>
    </row>
    <row r="127" spans="1:7" hidden="1">
      <c r="B127" s="345" t="s">
        <v>479</v>
      </c>
      <c r="C127" s="82" t="s">
        <v>223</v>
      </c>
      <c r="D127" s="82" t="s">
        <v>224</v>
      </c>
      <c r="E127" s="94" t="s">
        <v>225</v>
      </c>
      <c r="F127" s="19"/>
      <c r="G127" s="92"/>
    </row>
    <row r="128" spans="1:7" hidden="1">
      <c r="B128" s="69" t="s">
        <v>56</v>
      </c>
      <c r="C128" s="70">
        <f>E52</f>
        <v>0</v>
      </c>
      <c r="D128" s="71">
        <v>840</v>
      </c>
      <c r="E128" s="72">
        <f>ROUND(+D128*C128,2)</f>
        <v>0</v>
      </c>
      <c r="F128" s="19"/>
      <c r="G128" s="92"/>
    </row>
    <row r="129" spans="1:7" hidden="1">
      <c r="B129" s="358" t="s">
        <v>519</v>
      </c>
      <c r="C129" s="70">
        <f>E53</f>
        <v>0</v>
      </c>
      <c r="D129" s="71">
        <v>840</v>
      </c>
      <c r="E129" s="72">
        <f>ROUND(+D129*C129,2)</f>
        <v>0</v>
      </c>
      <c r="F129" s="19"/>
      <c r="G129" s="92"/>
    </row>
    <row r="130" spans="1:7" hidden="1">
      <c r="B130" s="69" t="s">
        <v>227</v>
      </c>
      <c r="C130" s="70">
        <v>0</v>
      </c>
      <c r="D130" s="71">
        <v>840</v>
      </c>
      <c r="E130" s="72">
        <f>D130*C130</f>
        <v>0</v>
      </c>
      <c r="F130" s="19"/>
      <c r="G130" s="92"/>
    </row>
    <row r="131" spans="1:7" hidden="1">
      <c r="B131" s="73"/>
      <c r="C131" s="74"/>
      <c r="D131" s="75" t="s">
        <v>252</v>
      </c>
      <c r="E131" s="76">
        <f>SUM(E128:E130)</f>
        <v>0</v>
      </c>
      <c r="F131" s="77" t="s">
        <v>229</v>
      </c>
      <c r="G131" s="92"/>
    </row>
    <row r="132" spans="1:7" hidden="1">
      <c r="B132" s="78"/>
      <c r="C132" s="79"/>
      <c r="D132" s="74"/>
      <c r="E132" s="74"/>
      <c r="F132" s="93"/>
      <c r="G132" s="23"/>
    </row>
    <row r="133" spans="1:7" hidden="1">
      <c r="B133" s="345" t="s">
        <v>546</v>
      </c>
      <c r="C133" s="82" t="s">
        <v>223</v>
      </c>
      <c r="D133" s="82" t="s">
        <v>224</v>
      </c>
      <c r="E133" s="94" t="s">
        <v>225</v>
      </c>
      <c r="F133" s="19"/>
      <c r="G133" s="92"/>
    </row>
    <row r="134" spans="1:7" hidden="1">
      <c r="B134" s="69" t="s">
        <v>56</v>
      </c>
      <c r="C134" s="70">
        <f>E52</f>
        <v>0</v>
      </c>
      <c r="D134" s="71">
        <v>12.53</v>
      </c>
      <c r="E134" s="72">
        <f>+D134*C134</f>
        <v>0</v>
      </c>
      <c r="F134" s="19"/>
      <c r="G134" s="92"/>
    </row>
    <row r="135" spans="1:7" hidden="1">
      <c r="B135" s="69" t="s">
        <v>519</v>
      </c>
      <c r="C135" s="70">
        <f>E53</f>
        <v>0</v>
      </c>
      <c r="D135" s="71">
        <v>12.53</v>
      </c>
      <c r="E135" s="72">
        <f>+D135*C135</f>
        <v>0</v>
      </c>
      <c r="F135" s="19"/>
      <c r="G135" s="92"/>
    </row>
    <row r="136" spans="1:7" hidden="1">
      <c r="B136" s="69" t="s">
        <v>227</v>
      </c>
      <c r="C136" s="70">
        <v>0</v>
      </c>
      <c r="D136" s="71">
        <f>'DADOS DE ENTRADA'!B32</f>
        <v>0</v>
      </c>
      <c r="E136" s="72">
        <f>D136*C136</f>
        <v>0</v>
      </c>
      <c r="F136" s="19"/>
      <c r="G136" s="92"/>
    </row>
    <row r="137" spans="1:7" hidden="1">
      <c r="B137" s="73"/>
      <c r="C137" s="74"/>
      <c r="D137" s="75" t="s">
        <v>253</v>
      </c>
      <c r="E137" s="76">
        <f>SUM(E134:E136)</f>
        <v>0</v>
      </c>
      <c r="F137" s="77" t="s">
        <v>229</v>
      </c>
      <c r="G137" s="92"/>
    </row>
    <row r="138" spans="1:7" hidden="1">
      <c r="B138" s="78"/>
      <c r="C138" s="79"/>
      <c r="D138" s="74"/>
      <c r="E138" s="74"/>
      <c r="F138" s="93"/>
      <c r="G138" s="23"/>
    </row>
    <row r="139" spans="1:7" hidden="1">
      <c r="B139" s="95"/>
      <c r="C139" s="79"/>
      <c r="D139" s="359" t="s">
        <v>521</v>
      </c>
      <c r="E139" s="76">
        <f>+E131+E137+E125</f>
        <v>0</v>
      </c>
      <c r="F139" s="77" t="s">
        <v>229</v>
      </c>
      <c r="G139" s="92"/>
    </row>
    <row r="140" spans="1:7" hidden="1">
      <c r="A140" s="34"/>
      <c r="B140" s="78"/>
      <c r="C140" s="79"/>
      <c r="D140" s="74"/>
      <c r="E140" s="74"/>
      <c r="F140" s="85"/>
      <c r="G140" s="23"/>
    </row>
    <row r="141" spans="1:7" hidden="1">
      <c r="A141" s="34"/>
      <c r="B141" s="95"/>
      <c r="C141" s="79"/>
      <c r="D141" s="84" t="s">
        <v>523</v>
      </c>
      <c r="E141" s="76">
        <f>E118+E139</f>
        <v>0</v>
      </c>
      <c r="F141" s="77" t="s">
        <v>229</v>
      </c>
      <c r="G141" s="92"/>
    </row>
    <row r="142" spans="1:7" ht="12" hidden="1" thickBot="1">
      <c r="A142" s="34"/>
      <c r="B142" s="96"/>
      <c r="C142" s="97"/>
      <c r="D142" s="98"/>
      <c r="E142" s="98"/>
      <c r="F142" s="99"/>
      <c r="G142" s="29"/>
    </row>
    <row r="143" spans="1:7" hidden="1">
      <c r="A143" s="34"/>
      <c r="B143" s="34"/>
      <c r="C143" s="63"/>
      <c r="D143" s="40"/>
      <c r="E143" s="40"/>
      <c r="F143" s="2"/>
    </row>
    <row r="144" spans="1:7" hidden="1">
      <c r="A144" s="767" t="s">
        <v>255</v>
      </c>
      <c r="B144" s="767"/>
      <c r="C144" s="767"/>
      <c r="D144" s="767"/>
      <c r="E144" s="767"/>
      <c r="F144" s="767"/>
      <c r="G144" s="767"/>
    </row>
    <row r="145" spans="1:8" ht="12" hidden="1" thickBot="1">
      <c r="A145" s="34"/>
      <c r="B145" s="34"/>
      <c r="C145" s="102"/>
      <c r="D145" s="102"/>
      <c r="E145" s="247"/>
      <c r="F145" s="2"/>
    </row>
    <row r="146" spans="1:8" hidden="1">
      <c r="A146" s="34"/>
      <c r="B146" s="343" t="s">
        <v>222</v>
      </c>
      <c r="C146" s="67" t="s">
        <v>223</v>
      </c>
      <c r="D146" s="67" t="s">
        <v>224</v>
      </c>
      <c r="E146" s="68" t="s">
        <v>225</v>
      </c>
      <c r="F146" s="13"/>
      <c r="G146" s="14"/>
    </row>
    <row r="147" spans="1:8" hidden="1">
      <c r="A147" s="34"/>
      <c r="B147" s="69" t="s">
        <v>56</v>
      </c>
      <c r="C147" s="70">
        <f>E55</f>
        <v>0</v>
      </c>
      <c r="D147" s="71">
        <f>D69</f>
        <v>2361.75</v>
      </c>
      <c r="E147" s="72">
        <f>+D147*C147</f>
        <v>0</v>
      </c>
      <c r="F147" s="19"/>
      <c r="G147" s="23"/>
    </row>
    <row r="148" spans="1:8" ht="12" hidden="1" customHeight="1">
      <c r="A148" s="34"/>
      <c r="B148" s="69" t="s">
        <v>226</v>
      </c>
      <c r="C148" s="70">
        <f>E56</f>
        <v>0</v>
      </c>
      <c r="D148" s="71">
        <f>D70</f>
        <v>1423.98</v>
      </c>
      <c r="E148" s="72">
        <f>+D148*C148</f>
        <v>0</v>
      </c>
      <c r="F148" s="19"/>
      <c r="G148" s="23"/>
    </row>
    <row r="149" spans="1:8" ht="12" hidden="1" customHeight="1">
      <c r="A149" s="34"/>
      <c r="B149" s="69" t="s">
        <v>227</v>
      </c>
      <c r="C149" s="70">
        <v>0</v>
      </c>
      <c r="D149" s="71">
        <f>'DADOS DE ENTRADA'!B21</f>
        <v>1342.9</v>
      </c>
      <c r="E149" s="72">
        <f>D149*C149</f>
        <v>0</v>
      </c>
      <c r="F149" s="19"/>
      <c r="G149" s="23"/>
    </row>
    <row r="150" spans="1:8" ht="12" hidden="1" customHeight="1">
      <c r="A150" s="34"/>
      <c r="B150" s="73"/>
      <c r="C150" s="74"/>
      <c r="D150" s="75" t="s">
        <v>228</v>
      </c>
      <c r="E150" s="76">
        <f>SUM(E147:E149)</f>
        <v>0</v>
      </c>
      <c r="F150" s="77" t="s">
        <v>229</v>
      </c>
      <c r="G150" s="23"/>
    </row>
    <row r="151" spans="1:8" ht="12" hidden="1" customHeight="1">
      <c r="A151" s="34"/>
      <c r="B151" s="78"/>
      <c r="C151" s="79"/>
      <c r="D151" s="19"/>
      <c r="E151" s="80"/>
      <c r="F151" s="80"/>
      <c r="G151" s="23"/>
    </row>
    <row r="152" spans="1:8" ht="12" hidden="1" customHeight="1">
      <c r="A152" s="34"/>
      <c r="B152" s="81" t="s">
        <v>230</v>
      </c>
      <c r="C152" s="82" t="s">
        <v>223</v>
      </c>
      <c r="D152" s="83" t="s">
        <v>224</v>
      </c>
      <c r="E152" s="83" t="s">
        <v>225</v>
      </c>
      <c r="F152" s="19"/>
      <c r="G152" s="23"/>
    </row>
    <row r="153" spans="1:8" ht="12" hidden="1" customHeight="1">
      <c r="A153" s="34"/>
      <c r="B153" s="69" t="s">
        <v>56</v>
      </c>
      <c r="C153" s="70">
        <f>E55</f>
        <v>0</v>
      </c>
      <c r="D153" s="71">
        <f>D75</f>
        <v>568</v>
      </c>
      <c r="E153" s="72">
        <f>+D153*C153</f>
        <v>0</v>
      </c>
      <c r="F153" s="19"/>
      <c r="G153" s="23"/>
    </row>
    <row r="154" spans="1:8" ht="12" hidden="1" customHeight="1">
      <c r="A154" s="34"/>
      <c r="B154" s="69" t="s">
        <v>226</v>
      </c>
      <c r="C154" s="70">
        <f>E56</f>
        <v>0</v>
      </c>
      <c r="D154" s="71">
        <f>D76</f>
        <v>568</v>
      </c>
      <c r="E154" s="72">
        <f>+D154*C154</f>
        <v>0</v>
      </c>
      <c r="F154" s="19"/>
      <c r="G154" s="23"/>
      <c r="H154" s="400">
        <f>D147+D153+D161</f>
        <v>3394.1174912993602</v>
      </c>
    </row>
    <row r="155" spans="1:8" ht="12" hidden="1" customHeight="1">
      <c r="A155" s="34"/>
      <c r="B155" s="69" t="s">
        <v>227</v>
      </c>
      <c r="C155" s="70">
        <v>0</v>
      </c>
      <c r="D155" s="71">
        <f>'DADOS DE ENTRADA'!B24*'DADOS DE ENTRADA'!B33</f>
        <v>242.4</v>
      </c>
      <c r="E155" s="72">
        <f>+D155*C155</f>
        <v>0</v>
      </c>
      <c r="F155" s="19"/>
      <c r="G155" s="23"/>
      <c r="H155" s="400">
        <f t="shared" ref="H155" si="0">D148+D154+D162</f>
        <v>2218.0692809059519</v>
      </c>
    </row>
    <row r="156" spans="1:8" ht="12" hidden="1" customHeight="1">
      <c r="A156" s="34"/>
      <c r="B156" s="73"/>
      <c r="C156" s="74"/>
      <c r="D156" s="248" t="s">
        <v>231</v>
      </c>
      <c r="E156" s="76">
        <f>SUM(E153:E155)</f>
        <v>0</v>
      </c>
      <c r="F156" s="77" t="s">
        <v>229</v>
      </c>
      <c r="G156" s="173"/>
      <c r="H156" s="400">
        <f>D148+D154+D162</f>
        <v>2218.0692809059519</v>
      </c>
    </row>
    <row r="157" spans="1:8" ht="12" hidden="1" customHeight="1">
      <c r="A157" s="34"/>
      <c r="B157" s="78"/>
      <c r="C157" s="79"/>
      <c r="D157" s="74"/>
      <c r="E157" s="93"/>
      <c r="F157" s="93"/>
      <c r="G157" s="23"/>
    </row>
    <row r="158" spans="1:8" ht="12" hidden="1" customHeight="1">
      <c r="A158" s="34"/>
      <c r="B158" s="81"/>
      <c r="C158" s="768" t="s">
        <v>256</v>
      </c>
      <c r="D158" s="769"/>
      <c r="E158" s="83">
        <f>'DADOS DE ENTRADA'!B42</f>
        <v>7.8060070000000001</v>
      </c>
      <c r="F158" s="19"/>
      <c r="G158" s="23"/>
    </row>
    <row r="159" spans="1:8" ht="12" hidden="1" customHeight="1">
      <c r="A159" s="34"/>
      <c r="B159" s="81" t="s">
        <v>257</v>
      </c>
      <c r="C159" s="768" t="s">
        <v>258</v>
      </c>
      <c r="D159" s="769"/>
      <c r="E159" s="83">
        <f>E10</f>
        <v>26.08</v>
      </c>
      <c r="F159" s="19"/>
      <c r="G159" s="23"/>
    </row>
    <row r="160" spans="1:8" ht="12" hidden="1" customHeight="1">
      <c r="A160" s="34"/>
      <c r="B160" s="81"/>
      <c r="C160" s="82" t="s">
        <v>223</v>
      </c>
      <c r="D160" s="82" t="s">
        <v>224</v>
      </c>
      <c r="E160" s="94" t="s">
        <v>225</v>
      </c>
      <c r="F160" s="19"/>
      <c r="G160" s="23"/>
    </row>
    <row r="161" spans="1:7" ht="12" hidden="1" customHeight="1">
      <c r="A161" s="34"/>
      <c r="B161" s="69" t="s">
        <v>56</v>
      </c>
      <c r="C161" s="70">
        <f>E55</f>
        <v>0</v>
      </c>
      <c r="D161" s="71">
        <f>(('DADOS DE ENTRADA'!B23/'DADOS DE ENTRADA'!B9)*'DADOS DE ENTRADA'!B29)*E158*E159</f>
        <v>464.36749129935998</v>
      </c>
      <c r="E161" s="72">
        <f>+D161*C161</f>
        <v>0</v>
      </c>
      <c r="F161" s="19"/>
      <c r="G161" s="23"/>
    </row>
    <row r="162" spans="1:7" ht="12" hidden="1" customHeight="1">
      <c r="A162" s="34"/>
      <c r="B162" s="69" t="s">
        <v>226</v>
      </c>
      <c r="C162" s="70">
        <f>E56</f>
        <v>0</v>
      </c>
      <c r="D162" s="71">
        <f>(('DADOS DE ENTRADA'!B14/'DADOS DE ENTRADA'!B9)*'DADOS DE ENTRADA'!B29)*E158*E159</f>
        <v>226.08928090595194</v>
      </c>
      <c r="E162" s="72">
        <f>ROUND(+D162*C162,2)</f>
        <v>0</v>
      </c>
      <c r="F162" s="19"/>
      <c r="G162" s="23"/>
    </row>
    <row r="163" spans="1:7" ht="12" hidden="1" customHeight="1">
      <c r="A163" s="34"/>
      <c r="B163" s="69" t="s">
        <v>227</v>
      </c>
      <c r="C163" s="70">
        <v>0</v>
      </c>
      <c r="D163" s="71">
        <f>(('DADOS DE ENTRADA'!B21/'DADOS DE ENTRADA'!B9)*'DADOS DE ENTRADA'!B29)*E158*E159</f>
        <v>248.53497431984005</v>
      </c>
      <c r="E163" s="72">
        <f>ROUND(+D163*C163,2)</f>
        <v>0</v>
      </c>
      <c r="F163" s="19"/>
      <c r="G163" s="23"/>
    </row>
    <row r="164" spans="1:7" ht="12" hidden="1" customHeight="1">
      <c r="A164" s="34"/>
      <c r="B164" s="73"/>
      <c r="C164" s="74"/>
      <c r="D164" s="248" t="s">
        <v>235</v>
      </c>
      <c r="E164" s="231">
        <f>SUM(E161:E163)</f>
        <v>0</v>
      </c>
      <c r="F164" s="77" t="s">
        <v>229</v>
      </c>
      <c r="G164" s="23"/>
    </row>
    <row r="165" spans="1:7" ht="12" hidden="1" customHeight="1">
      <c r="A165" s="34"/>
      <c r="B165" s="78"/>
      <c r="C165" s="79"/>
      <c r="D165" s="74"/>
      <c r="E165" s="80"/>
      <c r="F165" s="80"/>
      <c r="G165" s="23"/>
    </row>
    <row r="166" spans="1:7" ht="12" hidden="1" customHeight="1">
      <c r="A166" s="34"/>
      <c r="B166" s="81" t="s">
        <v>259</v>
      </c>
      <c r="C166" s="768" t="s">
        <v>233</v>
      </c>
      <c r="D166" s="769"/>
      <c r="E166" s="83"/>
      <c r="F166" s="245"/>
      <c r="G166" s="249"/>
    </row>
    <row r="167" spans="1:7" ht="12" hidden="1" customHeight="1">
      <c r="A167" s="34"/>
      <c r="B167" s="81"/>
      <c r="C167" s="768" t="s">
        <v>234</v>
      </c>
      <c r="D167" s="769"/>
      <c r="E167" s="83"/>
      <c r="F167" s="245"/>
      <c r="G167" s="249"/>
    </row>
    <row r="168" spans="1:7" ht="12" hidden="1" customHeight="1">
      <c r="A168" s="34"/>
      <c r="B168" s="246"/>
      <c r="C168" s="82" t="s">
        <v>223</v>
      </c>
      <c r="D168" s="83" t="s">
        <v>224</v>
      </c>
      <c r="E168" s="83" t="s">
        <v>225</v>
      </c>
      <c r="F168" s="19"/>
      <c r="G168" s="249"/>
    </row>
    <row r="169" spans="1:7" ht="12" hidden="1" customHeight="1">
      <c r="A169" s="34"/>
      <c r="B169" s="69" t="s">
        <v>56</v>
      </c>
      <c r="C169" s="70">
        <f>E55</f>
        <v>0</v>
      </c>
      <c r="D169" s="71">
        <f>(('DADOS DE ENTRADA'!B23+D153+D161)/'DADOS DE ENTRADA'!B9)*'DADOS DE ENTRADA'!B30*E166</f>
        <v>0</v>
      </c>
      <c r="E169" s="72">
        <f>ROUND(+D169*C169,2)</f>
        <v>0</v>
      </c>
      <c r="F169" s="19"/>
      <c r="G169" s="249"/>
    </row>
    <row r="170" spans="1:7" ht="12" hidden="1" customHeight="1">
      <c r="A170" s="34"/>
      <c r="B170" s="69" t="s">
        <v>226</v>
      </c>
      <c r="C170" s="70">
        <f>E56</f>
        <v>0</v>
      </c>
      <c r="D170" s="71">
        <f>(('DADOS DE ENTRADA'!B14+D154+D162)/'DADOS DE ENTRADA'!B9)*'DADOS DE ENTRADA'!B30*E167</f>
        <v>0</v>
      </c>
      <c r="E170" s="72">
        <f>+D170*C170</f>
        <v>0</v>
      </c>
      <c r="F170" s="19"/>
      <c r="G170" s="249"/>
    </row>
    <row r="171" spans="1:7" ht="12" hidden="1" customHeight="1">
      <c r="A171" s="34"/>
      <c r="B171" s="69" t="s">
        <v>227</v>
      </c>
      <c r="C171" s="70">
        <v>0</v>
      </c>
      <c r="D171" s="71">
        <f>(('DADOS DE ENTRADA'!B21+D155+D163)/'DADOS DE ENTRADA'!B9)*'DADOS DE ENTRADA'!B30*E167</f>
        <v>0</v>
      </c>
      <c r="E171" s="72">
        <f>+D171*C171</f>
        <v>0</v>
      </c>
      <c r="F171" s="19"/>
      <c r="G171" s="249"/>
    </row>
    <row r="172" spans="1:7" ht="12" hidden="1" customHeight="1">
      <c r="A172" s="34"/>
      <c r="B172" s="73"/>
      <c r="C172" s="74"/>
      <c r="D172" s="248" t="s">
        <v>260</v>
      </c>
      <c r="E172" s="231">
        <f>ROUND(SUM(E169:E171),2)</f>
        <v>0</v>
      </c>
      <c r="F172" s="77" t="s">
        <v>229</v>
      </c>
      <c r="G172" s="23"/>
    </row>
    <row r="173" spans="1:7" ht="12" hidden="1" customHeight="1">
      <c r="A173" s="34"/>
      <c r="B173" s="78"/>
      <c r="C173" s="84"/>
      <c r="D173" s="74"/>
      <c r="E173" s="80"/>
      <c r="F173" s="85"/>
      <c r="G173" s="23"/>
    </row>
    <row r="174" spans="1:7" ht="12" hidden="1" customHeight="1">
      <c r="A174" s="34"/>
      <c r="B174" s="81" t="s">
        <v>261</v>
      </c>
      <c r="C174" s="768" t="s">
        <v>233</v>
      </c>
      <c r="D174" s="769"/>
      <c r="E174" s="83">
        <f>1.08*7.83</f>
        <v>8.4564000000000004</v>
      </c>
      <c r="F174" s="245"/>
      <c r="G174" s="23"/>
    </row>
    <row r="175" spans="1:7" ht="12" hidden="1" customHeight="1">
      <c r="A175" s="34"/>
      <c r="B175" s="246" t="s">
        <v>238</v>
      </c>
      <c r="C175" s="768" t="s">
        <v>234</v>
      </c>
      <c r="D175" s="769"/>
      <c r="E175" s="83">
        <f>1.08*7.33</f>
        <v>7.9164000000000003</v>
      </c>
      <c r="F175" s="245"/>
      <c r="G175" s="23"/>
    </row>
    <row r="176" spans="1:7" ht="12" hidden="1" customHeight="1">
      <c r="A176" s="34"/>
      <c r="B176" s="246"/>
      <c r="C176" s="82" t="s">
        <v>223</v>
      </c>
      <c r="D176" s="83" t="s">
        <v>224</v>
      </c>
      <c r="E176" s="83" t="s">
        <v>225</v>
      </c>
      <c r="F176" s="19"/>
      <c r="G176" s="23"/>
    </row>
    <row r="177" spans="1:7" ht="12" hidden="1" customHeight="1">
      <c r="A177" s="34"/>
      <c r="B177" s="69" t="s">
        <v>56</v>
      </c>
      <c r="C177" s="70">
        <v>0</v>
      </c>
      <c r="D177" s="71">
        <f>(('DADOS DE ENTRADA'!B23+D153+D161)/'DADOS DE ENTRADA'!B9)*'DADOS DE ENTRADA'!B31*E174</f>
        <v>272.25514266749008</v>
      </c>
      <c r="E177" s="72">
        <f>ROUND(+D177*C177,2)</f>
        <v>0</v>
      </c>
      <c r="F177" s="19"/>
      <c r="G177" s="23"/>
    </row>
    <row r="178" spans="1:7" ht="12" hidden="1" customHeight="1">
      <c r="A178" s="34"/>
      <c r="B178" s="69" t="s">
        <v>226</v>
      </c>
      <c r="C178" s="70">
        <v>0</v>
      </c>
      <c r="D178" s="71">
        <f>(('DADOS DE ENTRADA'!B14+D154+D162)/'DADOS DE ENTRADA'!B9)*'DADOS DE ENTRADA'!B31*E175</f>
        <v>145.06509955785344</v>
      </c>
      <c r="E178" s="72">
        <f>+D178*C178</f>
        <v>0</v>
      </c>
      <c r="F178" s="19"/>
      <c r="G178" s="23"/>
    </row>
    <row r="179" spans="1:7" ht="12" hidden="1" customHeight="1">
      <c r="A179" s="34"/>
      <c r="B179" s="69" t="s">
        <v>227</v>
      </c>
      <c r="C179" s="70">
        <v>0</v>
      </c>
      <c r="D179" s="71">
        <f>(('DADOS DE ENTRADA'!B21+D155+D163)/'DADOS DE ENTRADA'!B9)*'DADOS DE ENTRADA'!B31*E175</f>
        <v>131.97610173368713</v>
      </c>
      <c r="E179" s="72">
        <f>+D179*C179</f>
        <v>0</v>
      </c>
      <c r="F179" s="19"/>
      <c r="G179" s="23"/>
    </row>
    <row r="180" spans="1:7" ht="12" hidden="1" customHeight="1">
      <c r="A180" s="34"/>
      <c r="B180" s="73"/>
      <c r="C180" s="74"/>
      <c r="D180" s="248" t="s">
        <v>245</v>
      </c>
      <c r="E180" s="231">
        <f>ROUND(SUM(E177:E179),2)</f>
        <v>0</v>
      </c>
      <c r="F180" s="77" t="s">
        <v>229</v>
      </c>
      <c r="G180" s="23"/>
    </row>
    <row r="181" spans="1:7" ht="12" hidden="1" customHeight="1">
      <c r="A181" s="34"/>
      <c r="B181" s="78"/>
      <c r="C181" s="84"/>
      <c r="D181" s="74"/>
      <c r="E181" s="80"/>
      <c r="F181" s="85"/>
      <c r="G181" s="23"/>
    </row>
    <row r="182" spans="1:7" ht="12" hidden="1" customHeight="1">
      <c r="A182" s="34"/>
      <c r="B182" s="81" t="s">
        <v>262</v>
      </c>
      <c r="C182" s="768" t="s">
        <v>233</v>
      </c>
      <c r="D182" s="769"/>
      <c r="E182" s="83">
        <f>4.33*7.83</f>
        <v>33.9039</v>
      </c>
      <c r="F182" s="245"/>
      <c r="G182" s="23"/>
    </row>
    <row r="183" spans="1:7" ht="12" hidden="1" customHeight="1">
      <c r="A183" s="34"/>
      <c r="B183" s="81"/>
      <c r="C183" s="768" t="s">
        <v>234</v>
      </c>
      <c r="D183" s="769"/>
      <c r="E183" s="83">
        <f>4.33*7.33</f>
        <v>31.738900000000001</v>
      </c>
      <c r="F183" s="245"/>
      <c r="G183" s="23"/>
    </row>
    <row r="184" spans="1:7" ht="12" hidden="1" customHeight="1">
      <c r="A184" s="34"/>
      <c r="B184" s="246" t="s">
        <v>241</v>
      </c>
      <c r="C184" s="82" t="s">
        <v>223</v>
      </c>
      <c r="D184" s="83" t="s">
        <v>224</v>
      </c>
      <c r="E184" s="83" t="s">
        <v>225</v>
      </c>
      <c r="F184" s="19"/>
      <c r="G184" s="23"/>
    </row>
    <row r="185" spans="1:7" ht="12" hidden="1" customHeight="1">
      <c r="A185" s="34"/>
      <c r="B185" s="69" t="s">
        <v>56</v>
      </c>
      <c r="C185" s="70">
        <v>0</v>
      </c>
      <c r="D185" s="71">
        <f>(('DADOS DE ENTRADA'!B23+D153+D161)/'DADOS DE ENTRADA'!B9)*'DADOS DE ENTRADA'!B31*E182</f>
        <v>1091.5414516205853</v>
      </c>
      <c r="E185" s="72">
        <f>ROUND(+D185*C185,2)</f>
        <v>0</v>
      </c>
      <c r="F185" s="19"/>
      <c r="G185" s="23"/>
    </row>
    <row r="186" spans="1:7" ht="12" hidden="1" customHeight="1">
      <c r="A186" s="34"/>
      <c r="B186" s="69" t="s">
        <v>226</v>
      </c>
      <c r="C186" s="70">
        <v>0</v>
      </c>
      <c r="D186" s="71">
        <f>(('DADOS DE ENTRADA'!B14+D154+D162)/'DADOS DE ENTRADA'!B9)*'DADOS DE ENTRADA'!B31*E183</f>
        <v>581.60359359769018</v>
      </c>
      <c r="E186" s="72">
        <f>+D186*C186</f>
        <v>0</v>
      </c>
      <c r="F186" s="19"/>
      <c r="G186" s="23"/>
    </row>
    <row r="187" spans="1:7" ht="12" hidden="1" customHeight="1">
      <c r="A187" s="34"/>
      <c r="B187" s="69" t="s">
        <v>227</v>
      </c>
      <c r="C187" s="70">
        <v>0</v>
      </c>
      <c r="D187" s="71">
        <f>(('DADOS DE ENTRADA'!B21+D155+D163)/'DADOS DE ENTRADA'!B9)*'DADOS DE ENTRADA'!B31*E183</f>
        <v>529.12640787672717</v>
      </c>
      <c r="E187" s="72">
        <f>+D187*C187</f>
        <v>0</v>
      </c>
      <c r="F187" s="19"/>
      <c r="G187" s="23"/>
    </row>
    <row r="188" spans="1:7" ht="12" hidden="1" customHeight="1">
      <c r="A188" s="34"/>
      <c r="B188" s="73"/>
      <c r="C188" s="74"/>
      <c r="D188" s="248" t="s">
        <v>263</v>
      </c>
      <c r="E188" s="231">
        <f>ROUND(SUM(E185:E187),2)</f>
        <v>0</v>
      </c>
      <c r="F188" s="77" t="s">
        <v>229</v>
      </c>
      <c r="G188" s="23"/>
    </row>
    <row r="189" spans="1:7" ht="12" hidden="1" customHeight="1">
      <c r="A189" s="34"/>
      <c r="B189" s="78"/>
      <c r="C189" s="84"/>
      <c r="D189" s="74"/>
      <c r="E189" s="80"/>
      <c r="F189" s="85"/>
      <c r="G189" s="23"/>
    </row>
    <row r="190" spans="1:7" ht="12" hidden="1" customHeight="1">
      <c r="A190" s="34"/>
      <c r="B190" s="81" t="s">
        <v>264</v>
      </c>
      <c r="C190" s="768" t="s">
        <v>244</v>
      </c>
      <c r="D190" s="769"/>
      <c r="E190" s="83">
        <f>1.08+4.33</f>
        <v>5.41</v>
      </c>
      <c r="F190" s="85"/>
      <c r="G190" s="23"/>
    </row>
    <row r="191" spans="1:7" ht="12" hidden="1" customHeight="1">
      <c r="A191" s="34"/>
      <c r="B191" s="81"/>
      <c r="C191" s="768" t="s">
        <v>5</v>
      </c>
      <c r="D191" s="769"/>
      <c r="E191" s="83">
        <f>'DADOS DE ENTRADA'!B5</f>
        <v>26.09</v>
      </c>
      <c r="F191" s="85"/>
      <c r="G191" s="23"/>
    </row>
    <row r="192" spans="1:7" ht="12" hidden="1" customHeight="1">
      <c r="A192" s="34"/>
      <c r="B192" s="81"/>
      <c r="C192" s="82" t="s">
        <v>223</v>
      </c>
      <c r="D192" s="83" t="s">
        <v>224</v>
      </c>
      <c r="E192" s="83" t="s">
        <v>225</v>
      </c>
      <c r="F192" s="85"/>
      <c r="G192" s="23"/>
    </row>
    <row r="193" spans="1:7" ht="12" hidden="1" customHeight="1">
      <c r="A193" s="34"/>
      <c r="B193" s="69" t="s">
        <v>56</v>
      </c>
      <c r="C193" s="70">
        <v>0</v>
      </c>
      <c r="D193" s="71">
        <f>((D169+D177+D185)/$E$191)*$E$190</f>
        <v>282.79569088150589</v>
      </c>
      <c r="E193" s="72">
        <f>ROUND(+D193*C193,2)</f>
        <v>0</v>
      </c>
      <c r="F193" s="85"/>
      <c r="G193" s="23"/>
    </row>
    <row r="194" spans="1:7" ht="12" hidden="1" customHeight="1">
      <c r="A194" s="34"/>
      <c r="B194" s="69" t="s">
        <v>226</v>
      </c>
      <c r="C194" s="70">
        <v>0</v>
      </c>
      <c r="D194" s="71">
        <f>((D170+D178+D186)/$E$191)*$E$190</f>
        <v>150.68139631933659</v>
      </c>
      <c r="E194" s="72">
        <f>+D194*C194</f>
        <v>0</v>
      </c>
      <c r="F194" s="85"/>
      <c r="G194" s="23"/>
    </row>
    <row r="195" spans="1:7" ht="12" hidden="1" customHeight="1">
      <c r="A195" s="34"/>
      <c r="B195" s="69" t="s">
        <v>227</v>
      </c>
      <c r="C195" s="70">
        <v>0</v>
      </c>
      <c r="D195" s="71">
        <f>((D171+D179+D187)/$E$191)*$E$190</f>
        <v>137.08564879234731</v>
      </c>
      <c r="E195" s="72">
        <f>D195*C195</f>
        <v>0</v>
      </c>
      <c r="F195" s="85"/>
      <c r="G195" s="23"/>
    </row>
    <row r="196" spans="1:7" ht="12" hidden="1" customHeight="1">
      <c r="A196" s="34"/>
      <c r="B196" s="73"/>
      <c r="C196" s="74"/>
      <c r="D196" s="75" t="s">
        <v>249</v>
      </c>
      <c r="E196" s="76">
        <f>ROUND(SUM(E193:E195),2)</f>
        <v>0</v>
      </c>
      <c r="F196" s="85"/>
      <c r="G196" s="23"/>
    </row>
    <row r="197" spans="1:7" ht="12" hidden="1" customHeight="1">
      <c r="A197" s="34"/>
      <c r="B197" s="78"/>
      <c r="C197" s="84"/>
      <c r="D197" s="74"/>
      <c r="E197" s="80"/>
      <c r="F197" s="85"/>
      <c r="G197" s="23"/>
    </row>
    <row r="198" spans="1:7" ht="12" hidden="1" customHeight="1">
      <c r="A198" s="34"/>
      <c r="B198" s="86"/>
      <c r="C198" s="19"/>
      <c r="D198" s="344" t="s">
        <v>250</v>
      </c>
      <c r="E198" s="76">
        <f>ROUND(+E164+E156+E150+E172+E180+E188+E196,2)</f>
        <v>0</v>
      </c>
      <c r="F198" s="77" t="s">
        <v>229</v>
      </c>
      <c r="G198" s="173"/>
    </row>
    <row r="199" spans="1:7" ht="12" hidden="1" customHeight="1">
      <c r="A199" s="34"/>
      <c r="B199" s="78"/>
      <c r="C199" s="19"/>
      <c r="D199" s="19"/>
      <c r="E199" s="80"/>
      <c r="F199" s="80"/>
      <c r="G199" s="23"/>
    </row>
    <row r="200" spans="1:7" ht="12" hidden="1" customHeight="1">
      <c r="A200" s="34"/>
      <c r="B200" s="345" t="s">
        <v>265</v>
      </c>
      <c r="C200" s="82" t="s">
        <v>223</v>
      </c>
      <c r="D200" s="83" t="s">
        <v>224</v>
      </c>
      <c r="E200" s="83" t="s">
        <v>225</v>
      </c>
      <c r="F200" s="19"/>
      <c r="G200" s="23"/>
    </row>
    <row r="201" spans="1:7" ht="12" hidden="1" customHeight="1">
      <c r="A201" s="34"/>
      <c r="B201" s="346" t="s">
        <v>248</v>
      </c>
      <c r="C201" s="88">
        <v>0.95</v>
      </c>
      <c r="D201" s="89">
        <f>+E198*C201</f>
        <v>0</v>
      </c>
      <c r="E201" s="72">
        <f>ROUND(+D201,2)</f>
        <v>0</v>
      </c>
      <c r="F201" s="19"/>
      <c r="G201" s="23"/>
    </row>
    <row r="202" spans="1:7" ht="12" hidden="1" customHeight="1">
      <c r="A202" s="34"/>
      <c r="B202" s="73"/>
      <c r="C202" s="79"/>
      <c r="D202" s="75" t="s">
        <v>251</v>
      </c>
      <c r="E202" s="76">
        <f>ROUND(SUM(E201),2)</f>
        <v>0</v>
      </c>
      <c r="F202" s="77" t="s">
        <v>229</v>
      </c>
      <c r="G202" s="23"/>
    </row>
    <row r="203" spans="1:7" ht="12" hidden="1" customHeight="1">
      <c r="A203" s="34"/>
      <c r="B203" s="78"/>
      <c r="C203" s="19"/>
      <c r="D203" s="19"/>
      <c r="E203" s="80"/>
      <c r="F203" s="80"/>
      <c r="G203" s="23"/>
    </row>
    <row r="204" spans="1:7" ht="12" hidden="1" customHeight="1">
      <c r="A204" s="34"/>
      <c r="B204" s="86"/>
      <c r="C204" s="19"/>
      <c r="D204" s="344" t="s">
        <v>266</v>
      </c>
      <c r="E204" s="76">
        <f>ROUND(+E202+E198,2)</f>
        <v>0</v>
      </c>
      <c r="F204" s="77" t="s">
        <v>229</v>
      </c>
      <c r="G204" s="23"/>
    </row>
    <row r="205" spans="1:7" ht="12" hidden="1" customHeight="1">
      <c r="A205" s="34"/>
      <c r="B205" s="86"/>
      <c r="C205" s="19"/>
      <c r="D205" s="19"/>
      <c r="E205" s="85"/>
      <c r="F205" s="19"/>
      <c r="G205" s="23"/>
    </row>
    <row r="206" spans="1:7" ht="12" hidden="1" customHeight="1">
      <c r="A206" s="34"/>
      <c r="B206" s="345" t="s">
        <v>549</v>
      </c>
      <c r="C206" s="768"/>
      <c r="D206" s="769"/>
      <c r="E206" s="83"/>
      <c r="F206" s="19"/>
      <c r="G206" s="23"/>
    </row>
    <row r="207" spans="1:7" ht="12" hidden="1" customHeight="1">
      <c r="A207" s="34"/>
      <c r="B207" s="86"/>
      <c r="C207" s="82" t="s">
        <v>223</v>
      </c>
      <c r="D207" s="83" t="s">
        <v>224</v>
      </c>
      <c r="E207" s="83" t="s">
        <v>225</v>
      </c>
      <c r="F207" s="19"/>
      <c r="G207" s="23"/>
    </row>
    <row r="208" spans="1:7" ht="12" hidden="1" customHeight="1">
      <c r="A208" s="34"/>
      <c r="B208" s="69" t="s">
        <v>56</v>
      </c>
      <c r="C208" s="70">
        <f>C161</f>
        <v>0</v>
      </c>
      <c r="D208" s="71">
        <f>4.1*52-0.006*H154</f>
        <v>192.83529505220383</v>
      </c>
      <c r="E208" s="72">
        <f>+D208*C208</f>
        <v>0</v>
      </c>
      <c r="F208" s="19"/>
      <c r="G208" s="23"/>
    </row>
    <row r="209" spans="1:7" ht="12" hidden="1" customHeight="1">
      <c r="A209" s="34"/>
      <c r="B209" s="69" t="s">
        <v>519</v>
      </c>
      <c r="C209" s="70">
        <f>C162</f>
        <v>0</v>
      </c>
      <c r="D209" s="71">
        <f>4.1*52-0.006*H156</f>
        <v>199.89158431456428</v>
      </c>
      <c r="E209" s="72">
        <f>+D209*C209</f>
        <v>0</v>
      </c>
      <c r="F209" s="19"/>
      <c r="G209" s="23"/>
    </row>
    <row r="210" spans="1:7" ht="12" hidden="1" customHeight="1">
      <c r="A210" s="34"/>
      <c r="B210" s="69" t="s">
        <v>227</v>
      </c>
      <c r="C210" s="70">
        <v>0</v>
      </c>
      <c r="D210" s="71">
        <f>IF((('DADOS DE ENTRADA'!B91*'DADOS DE ENTRADA'!B122*E206)-(6%*'DADOS DE ENTRADA'!B107))&lt;0,0,('DADOS DE ENTRADA'!B91*'DADOS DE ENTRADA'!B122*E206)-(6%*'DADOS DE ENTRADA'!B107))</f>
        <v>0</v>
      </c>
      <c r="E210" s="72">
        <f>D210*C210</f>
        <v>0</v>
      </c>
      <c r="F210" s="19"/>
      <c r="G210" s="23"/>
    </row>
    <row r="211" spans="1:7" ht="12" hidden="1" customHeight="1">
      <c r="A211" s="34"/>
      <c r="B211" s="73"/>
      <c r="C211" s="74"/>
      <c r="D211" s="75" t="s">
        <v>251</v>
      </c>
      <c r="E211" s="76">
        <f>SUM(E208:E210)</f>
        <v>0</v>
      </c>
      <c r="F211" s="77" t="s">
        <v>229</v>
      </c>
      <c r="G211" s="23"/>
    </row>
    <row r="212" spans="1:7" ht="12" hidden="1" customHeight="1">
      <c r="A212" s="34"/>
      <c r="B212" s="78"/>
      <c r="C212" s="79"/>
      <c r="D212" s="74"/>
      <c r="E212" s="74"/>
      <c r="F212" s="93"/>
      <c r="G212" s="23"/>
    </row>
    <row r="213" spans="1:7" ht="12" hidden="1" customHeight="1">
      <c r="A213" s="34"/>
      <c r="B213" s="345" t="s">
        <v>267</v>
      </c>
      <c r="C213" s="82" t="s">
        <v>223</v>
      </c>
      <c r="D213" s="82" t="s">
        <v>224</v>
      </c>
      <c r="E213" s="94" t="s">
        <v>225</v>
      </c>
      <c r="F213" s="19"/>
      <c r="G213" s="23"/>
    </row>
    <row r="214" spans="1:7" ht="12" hidden="1" customHeight="1">
      <c r="A214" s="34"/>
      <c r="B214" s="69" t="s">
        <v>56</v>
      </c>
      <c r="C214" s="70">
        <f>E55</f>
        <v>0</v>
      </c>
      <c r="D214" s="71">
        <f>D128</f>
        <v>840</v>
      </c>
      <c r="E214" s="72">
        <f>ROUND(+D214*C214,2)</f>
        <v>0</v>
      </c>
      <c r="F214" s="19"/>
      <c r="G214" s="23"/>
    </row>
    <row r="215" spans="1:7" ht="12" hidden="1" customHeight="1">
      <c r="A215" s="34"/>
      <c r="B215" s="69" t="s">
        <v>226</v>
      </c>
      <c r="C215" s="70">
        <f>E56</f>
        <v>0</v>
      </c>
      <c r="D215" s="71">
        <f>D129</f>
        <v>840</v>
      </c>
      <c r="E215" s="72">
        <f>ROUND(+D215*C215,2)</f>
        <v>0</v>
      </c>
      <c r="F215" s="19"/>
      <c r="G215" s="23"/>
    </row>
    <row r="216" spans="1:7" ht="12" hidden="1" customHeight="1">
      <c r="A216" s="34"/>
      <c r="B216" s="69" t="s">
        <v>227</v>
      </c>
      <c r="C216" s="70">
        <v>0</v>
      </c>
      <c r="D216" s="71">
        <f>'DADOS DE ENTRADA'!B28</f>
        <v>275</v>
      </c>
      <c r="E216" s="72">
        <f>ROUND(+D216*C216,2)</f>
        <v>0</v>
      </c>
      <c r="F216" s="19"/>
      <c r="G216" s="23"/>
    </row>
    <row r="217" spans="1:7" ht="12" hidden="1" customHeight="1">
      <c r="A217" s="34"/>
      <c r="B217" s="73"/>
      <c r="C217" s="74"/>
      <c r="D217" s="248" t="s">
        <v>253</v>
      </c>
      <c r="E217" s="231">
        <f>SUM(E214:E216)</f>
        <v>0</v>
      </c>
      <c r="F217" s="77" t="s">
        <v>229</v>
      </c>
      <c r="G217" s="23"/>
    </row>
    <row r="218" spans="1:7" ht="12" hidden="1" customHeight="1">
      <c r="A218" s="34"/>
      <c r="B218" s="78"/>
      <c r="C218" s="79"/>
      <c r="D218" s="74"/>
      <c r="E218" s="74"/>
      <c r="F218" s="93"/>
      <c r="G218" s="23"/>
    </row>
    <row r="219" spans="1:7" ht="12" hidden="1" customHeight="1">
      <c r="A219" s="34"/>
      <c r="B219" s="345" t="s">
        <v>546</v>
      </c>
      <c r="C219" s="82" t="s">
        <v>223</v>
      </c>
      <c r="D219" s="82" t="s">
        <v>224</v>
      </c>
      <c r="E219" s="94" t="s">
        <v>225</v>
      </c>
      <c r="F219" s="19"/>
      <c r="G219" s="23"/>
    </row>
    <row r="220" spans="1:7" ht="12" hidden="1" customHeight="1">
      <c r="A220" s="34"/>
      <c r="B220" s="69" t="s">
        <v>56</v>
      </c>
      <c r="C220" s="70">
        <f>C214</f>
        <v>0</v>
      </c>
      <c r="D220" s="71">
        <v>12.53</v>
      </c>
      <c r="E220" s="72">
        <f>+D220*C220</f>
        <v>0</v>
      </c>
      <c r="F220" s="19"/>
      <c r="G220" s="23"/>
    </row>
    <row r="221" spans="1:7" ht="12" hidden="1" customHeight="1">
      <c r="A221" s="34"/>
      <c r="B221" s="69" t="s">
        <v>519</v>
      </c>
      <c r="C221" s="70">
        <f>C215</f>
        <v>0</v>
      </c>
      <c r="D221" s="71">
        <v>12.53</v>
      </c>
      <c r="E221" s="72">
        <f>+D221*C221</f>
        <v>0</v>
      </c>
      <c r="F221" s="19"/>
      <c r="G221" s="23"/>
    </row>
    <row r="222" spans="1:7" ht="12" hidden="1" customHeight="1">
      <c r="A222" s="34"/>
      <c r="B222" s="69" t="s">
        <v>227</v>
      </c>
      <c r="C222" s="70">
        <v>0</v>
      </c>
      <c r="D222" s="71">
        <f>'DADOS DE ENTRADA'!B118</f>
        <v>0</v>
      </c>
      <c r="E222" s="72">
        <f>D222*C222</f>
        <v>0</v>
      </c>
      <c r="F222" s="19"/>
      <c r="G222" s="23"/>
    </row>
    <row r="223" spans="1:7" ht="12" hidden="1" customHeight="1">
      <c r="A223" s="34"/>
      <c r="B223" s="73"/>
      <c r="C223" s="74"/>
      <c r="D223" s="75" t="s">
        <v>253</v>
      </c>
      <c r="E223" s="76">
        <f>SUM(E220:E222)</f>
        <v>0</v>
      </c>
      <c r="F223" s="77" t="s">
        <v>229</v>
      </c>
      <c r="G223" s="23"/>
    </row>
    <row r="224" spans="1:7" ht="12" hidden="1" customHeight="1">
      <c r="A224" s="34"/>
      <c r="B224" s="78"/>
      <c r="C224" s="79"/>
      <c r="D224" s="74"/>
      <c r="E224" s="74"/>
      <c r="F224" s="93"/>
      <c r="G224" s="23"/>
    </row>
    <row r="225" spans="1:7" ht="12" hidden="1" customHeight="1">
      <c r="A225" s="34"/>
      <c r="B225" s="95"/>
      <c r="C225" s="79"/>
      <c r="D225" s="84" t="s">
        <v>268</v>
      </c>
      <c r="E225" s="76">
        <f>+E217+E223+E211</f>
        <v>0</v>
      </c>
      <c r="F225" s="77" t="s">
        <v>229</v>
      </c>
      <c r="G225" s="23"/>
    </row>
    <row r="226" spans="1:7" ht="12" hidden="1" customHeight="1">
      <c r="A226" s="34"/>
      <c r="B226" s="78"/>
      <c r="C226" s="79"/>
      <c r="D226" s="74"/>
      <c r="E226" s="74"/>
      <c r="F226" s="85"/>
      <c r="G226" s="23"/>
    </row>
    <row r="227" spans="1:7" ht="12" hidden="1" customHeight="1">
      <c r="A227" s="34"/>
      <c r="B227" s="95"/>
      <c r="C227" s="79"/>
      <c r="D227" s="84" t="s">
        <v>269</v>
      </c>
      <c r="E227" s="76">
        <f>E204+E225</f>
        <v>0</v>
      </c>
      <c r="F227" s="77" t="s">
        <v>229</v>
      </c>
      <c r="G227" s="23"/>
    </row>
    <row r="228" spans="1:7" ht="12" hidden="1" customHeight="1" thickBot="1">
      <c r="A228" s="34"/>
      <c r="B228" s="96"/>
      <c r="C228" s="97"/>
      <c r="D228" s="98"/>
      <c r="E228" s="98"/>
      <c r="F228" s="99"/>
      <c r="G228" s="29"/>
    </row>
    <row r="229" spans="1:7" ht="12" hidden="1" customHeight="1" thickBot="1">
      <c r="A229" s="34"/>
      <c r="B229" s="385"/>
      <c r="C229" s="386"/>
      <c r="D229" s="387"/>
      <c r="E229" s="387"/>
      <c r="F229" s="388"/>
      <c r="G229" s="14"/>
    </row>
    <row r="230" spans="1:7" ht="12" hidden="1" customHeight="1">
      <c r="B230" s="86"/>
      <c r="C230" s="128"/>
      <c r="D230" s="129"/>
      <c r="E230" s="129"/>
      <c r="F230" s="130"/>
      <c r="G230" s="23"/>
    </row>
    <row r="231" spans="1:7" ht="12" hidden="1" customHeight="1">
      <c r="B231" s="86"/>
      <c r="C231" s="347" t="s">
        <v>270</v>
      </c>
      <c r="D231" s="132"/>
      <c r="E231" s="76">
        <f>E141+E227</f>
        <v>0</v>
      </c>
      <c r="F231" s="133" t="s">
        <v>229</v>
      </c>
      <c r="G231" s="92"/>
    </row>
    <row r="232" spans="1:7" ht="12" hidden="1" customHeight="1">
      <c r="B232" s="86"/>
      <c r="C232" s="134" t="s">
        <v>271</v>
      </c>
      <c r="D232" s="132"/>
      <c r="E232" s="132"/>
      <c r="F232" s="135"/>
      <c r="G232" s="23"/>
    </row>
    <row r="233" spans="1:7" ht="12" hidden="1" customHeight="1">
      <c r="B233" s="86"/>
      <c r="C233" s="347" t="s">
        <v>272</v>
      </c>
      <c r="D233" s="132"/>
      <c r="E233" s="76">
        <f>+E231*E9</f>
        <v>0</v>
      </c>
      <c r="F233" s="133" t="s">
        <v>229</v>
      </c>
      <c r="G233" s="23"/>
    </row>
    <row r="234" spans="1:7" ht="12" hidden="1" customHeight="1" thickBot="1">
      <c r="B234" s="86"/>
      <c r="C234" s="136" t="s">
        <v>271</v>
      </c>
      <c r="D234" s="137"/>
      <c r="E234" s="137"/>
      <c r="F234" s="138"/>
      <c r="G234" s="92"/>
    </row>
    <row r="235" spans="1:7" ht="12" hidden="1" customHeight="1" thickBot="1">
      <c r="B235" s="139"/>
      <c r="C235" s="48"/>
      <c r="D235" s="48"/>
      <c r="E235" s="48"/>
      <c r="F235" s="99"/>
      <c r="G235" s="215"/>
    </row>
    <row r="236" spans="1:7" hidden="1">
      <c r="B236" s="3"/>
      <c r="F236" s="100"/>
    </row>
    <row r="237" spans="1:7" ht="13.8" hidden="1">
      <c r="A237" s="757" t="s">
        <v>273</v>
      </c>
      <c r="B237" s="758"/>
      <c r="C237" s="758"/>
      <c r="D237" s="758"/>
      <c r="E237" s="758"/>
      <c r="F237" s="758"/>
      <c r="G237" s="758"/>
    </row>
    <row r="238" spans="1:7" ht="11.25" hidden="1" customHeight="1" thickBot="1">
      <c r="B238" s="3"/>
      <c r="F238" s="100"/>
    </row>
    <row r="239" spans="1:7" hidden="1">
      <c r="B239" s="66" t="s">
        <v>274</v>
      </c>
      <c r="C239" s="13"/>
      <c r="D239" s="101"/>
      <c r="E239" s="101"/>
      <c r="F239" s="101"/>
      <c r="G239" s="14"/>
    </row>
    <row r="240" spans="1:7" hidden="1">
      <c r="B240" s="87"/>
      <c r="C240" s="764" t="s">
        <v>491</v>
      </c>
      <c r="D240" s="770"/>
      <c r="E240" s="770"/>
      <c r="F240" s="765"/>
      <c r="G240" s="23"/>
    </row>
    <row r="241" spans="2:7" hidden="1">
      <c r="B241" s="78"/>
      <c r="C241" s="103" t="s">
        <v>275</v>
      </c>
      <c r="D241" s="104" t="s">
        <v>276</v>
      </c>
      <c r="E241" s="104" t="s">
        <v>224</v>
      </c>
      <c r="F241" s="104" t="s">
        <v>277</v>
      </c>
      <c r="G241" s="105"/>
    </row>
    <row r="242" spans="2:7" ht="13.5" hidden="1" customHeight="1">
      <c r="B242" s="78"/>
      <c r="C242" s="250" t="str">
        <f>'DADOS DE ENTRADA'!$D$26</f>
        <v>Calça comprida de brim</v>
      </c>
      <c r="D242" s="108">
        <v>2</v>
      </c>
      <c r="E242" s="250">
        <v>63.78</v>
      </c>
      <c r="F242" s="251">
        <f>(D242*E242)/12</f>
        <v>10.63</v>
      </c>
      <c r="G242" s="110"/>
    </row>
    <row r="243" spans="2:7" ht="13.5" hidden="1" customHeight="1">
      <c r="B243" s="78"/>
      <c r="C243" s="250" t="str">
        <f>'DADOS DE ENTRADA'!$D$30</f>
        <v>Capa de chuva em PVC</v>
      </c>
      <c r="D243" s="108">
        <v>2</v>
      </c>
      <c r="E243" s="250">
        <v>27.15</v>
      </c>
      <c r="F243" s="251">
        <f>(D243*E243)/12</f>
        <v>4.5249999999999995</v>
      </c>
      <c r="G243" s="110"/>
    </row>
    <row r="244" spans="2:7" ht="13.5" hidden="1" customHeight="1">
      <c r="B244" s="95"/>
      <c r="C244" s="250" t="str">
        <f>'DADOS DE ENTRADA'!$D$28</f>
        <v>Camisa de brim com manga</v>
      </c>
      <c r="D244" s="108">
        <v>2</v>
      </c>
      <c r="E244" s="250">
        <v>64.2</v>
      </c>
      <c r="F244" s="251">
        <f>(D244*E244)/12</f>
        <v>10.700000000000001</v>
      </c>
      <c r="G244" s="110"/>
    </row>
    <row r="245" spans="2:7" ht="13.5" hidden="1" customHeight="1">
      <c r="B245" s="78"/>
      <c r="C245" s="250" t="str">
        <f>'DADOS DE ENTRADA'!$D$29</f>
        <v>Calçados tipo "Vulcabras"</v>
      </c>
      <c r="D245" s="108">
        <v>2</v>
      </c>
      <c r="E245" s="250">
        <v>59.99</v>
      </c>
      <c r="F245" s="251">
        <f>(D245*E245)/12</f>
        <v>9.9983333333333331</v>
      </c>
      <c r="G245" s="110"/>
    </row>
    <row r="246" spans="2:7" ht="13.5" hidden="1" customHeight="1">
      <c r="B246" s="78"/>
      <c r="C246" s="19"/>
      <c r="D246" s="84"/>
      <c r="E246" s="344" t="s">
        <v>278</v>
      </c>
      <c r="F246" s="76">
        <f>SUM(F242:F245)</f>
        <v>35.853333333333339</v>
      </c>
      <c r="G246" s="112"/>
    </row>
    <row r="247" spans="2:7" ht="13.5" hidden="1" customHeight="1">
      <c r="B247" s="78"/>
      <c r="C247" s="19"/>
      <c r="D247" s="19"/>
      <c r="E247" s="19"/>
      <c r="F247" s="19"/>
      <c r="G247" s="114"/>
    </row>
    <row r="248" spans="2:7" ht="13.5" hidden="1" customHeight="1">
      <c r="B248" s="78"/>
      <c r="C248" s="771" t="s">
        <v>279</v>
      </c>
      <c r="D248" s="771"/>
      <c r="E248" s="771"/>
      <c r="F248" s="771"/>
      <c r="G248" s="114"/>
    </row>
    <row r="249" spans="2:7" ht="13.5" hidden="1" customHeight="1">
      <c r="B249" s="87"/>
      <c r="C249" s="104" t="s">
        <v>275</v>
      </c>
      <c r="D249" s="104" t="s">
        <v>276</v>
      </c>
      <c r="E249" s="104" t="s">
        <v>224</v>
      </c>
      <c r="F249" s="104" t="s">
        <v>277</v>
      </c>
      <c r="G249" s="105"/>
    </row>
    <row r="250" spans="2:7" ht="13.5" hidden="1" customHeight="1">
      <c r="B250" s="95"/>
      <c r="C250" s="107" t="str">
        <f>'DADOS DE ENTRADA'!$D$25</f>
        <v>Boné tipo "Jóckey"</v>
      </c>
      <c r="D250" s="108">
        <v>3</v>
      </c>
      <c r="E250" s="250">
        <v>22.99</v>
      </c>
      <c r="F250" s="109">
        <f t="shared" ref="F250:F259" si="1">(D250*E250)/12</f>
        <v>5.7474999999999996</v>
      </c>
      <c r="G250" s="229"/>
    </row>
    <row r="251" spans="2:7" ht="13.5" hidden="1" customHeight="1">
      <c r="B251" s="95"/>
      <c r="C251" s="107" t="str">
        <f>'DADOS DE ENTRADA'!$D$26</f>
        <v>Calça comprida de brim</v>
      </c>
      <c r="D251" s="108">
        <v>3</v>
      </c>
      <c r="E251" s="250">
        <v>63.78</v>
      </c>
      <c r="F251" s="109">
        <f t="shared" si="1"/>
        <v>15.945</v>
      </c>
      <c r="G251" s="229"/>
    </row>
    <row r="252" spans="2:7" ht="13.5" hidden="1" customHeight="1">
      <c r="B252" s="78"/>
      <c r="C252" s="107" t="str">
        <f>'DADOS DE ENTRADA'!$D$29</f>
        <v>Calçados tipo "Vulcabras"</v>
      </c>
      <c r="D252" s="108">
        <v>3</v>
      </c>
      <c r="E252" s="250">
        <v>59.99</v>
      </c>
      <c r="F252" s="109">
        <f t="shared" si="1"/>
        <v>14.9975</v>
      </c>
      <c r="G252" s="229"/>
    </row>
    <row r="253" spans="2:7" ht="13.5" hidden="1" customHeight="1">
      <c r="B253" s="95"/>
      <c r="C253" s="348" t="str">
        <f>'DADOS DE ENTRADA'!$D$28</f>
        <v>Camisa de brim com manga</v>
      </c>
      <c r="D253" s="108">
        <v>3</v>
      </c>
      <c r="E253" s="250">
        <v>64.2</v>
      </c>
      <c r="F253" s="109">
        <f t="shared" si="1"/>
        <v>16.05</v>
      </c>
      <c r="G253" s="229"/>
    </row>
    <row r="254" spans="2:7" ht="13.5" hidden="1" customHeight="1">
      <c r="B254" s="78"/>
      <c r="C254" s="107" t="str">
        <f>'DADOS DE ENTRADA'!$D$30</f>
        <v>Capa de chuva em PVC</v>
      </c>
      <c r="D254" s="108">
        <v>2</v>
      </c>
      <c r="E254" s="250">
        <v>27.15</v>
      </c>
      <c r="F254" s="109">
        <f t="shared" si="1"/>
        <v>4.5249999999999995</v>
      </c>
      <c r="G254" s="229"/>
    </row>
    <row r="255" spans="2:7" ht="13.5" hidden="1" customHeight="1">
      <c r="B255" s="95"/>
      <c r="C255" s="107" t="str">
        <f>'DADOS DE ENTRADA'!$D$31</f>
        <v>Colete sinalizador</v>
      </c>
      <c r="D255" s="108">
        <v>2</v>
      </c>
      <c r="E255" s="250">
        <v>26.5</v>
      </c>
      <c r="F255" s="109">
        <f t="shared" si="1"/>
        <v>4.416666666666667</v>
      </c>
      <c r="G255" s="229"/>
    </row>
    <row r="256" spans="2:7" ht="13.5" hidden="1" customHeight="1">
      <c r="B256" s="87"/>
      <c r="C256" s="348" t="str">
        <f>'DADOS DE ENTRADA'!$D$34</f>
        <v>Luva de PVC</v>
      </c>
      <c r="D256" s="108">
        <v>4</v>
      </c>
      <c r="E256" s="250">
        <v>14.81</v>
      </c>
      <c r="F256" s="109">
        <f t="shared" si="1"/>
        <v>4.9366666666666665</v>
      </c>
      <c r="G256" s="229"/>
    </row>
    <row r="257" spans="2:7" ht="13.5" hidden="1" customHeight="1">
      <c r="B257" s="78"/>
      <c r="C257" s="107" t="str">
        <f>'DADOS DE ENTRADA'!D$40</f>
        <v>Protetor solar FPS 30</v>
      </c>
      <c r="D257" s="108">
        <v>0</v>
      </c>
      <c r="E257" s="250">
        <v>17.149999999999999</v>
      </c>
      <c r="F257" s="109">
        <f t="shared" si="1"/>
        <v>0</v>
      </c>
      <c r="G257" s="229"/>
    </row>
    <row r="258" spans="2:7" ht="13.5" hidden="1" customHeight="1">
      <c r="B258" s="78"/>
      <c r="C258" s="107" t="str">
        <f>'DADOS DE ENTRADA'!$D$37</f>
        <v>Máscara c/filtro</v>
      </c>
      <c r="D258" s="108">
        <v>0</v>
      </c>
      <c r="E258" s="250">
        <f>'DADOS DE ENTRADA'!$E$37</f>
        <v>1.6</v>
      </c>
      <c r="F258" s="109">
        <f t="shared" si="1"/>
        <v>0</v>
      </c>
      <c r="G258" s="229"/>
    </row>
    <row r="259" spans="2:7" ht="13.5" hidden="1" customHeight="1">
      <c r="B259" s="78"/>
      <c r="C259" s="107" t="str">
        <f>'DADOS DE ENTRADA'!$D$39</f>
        <v>Óculos de Proteção</v>
      </c>
      <c r="D259" s="108">
        <v>0</v>
      </c>
      <c r="E259" s="250">
        <f>'DADOS DE ENTRADA'!$E$39</f>
        <v>1.5</v>
      </c>
      <c r="F259" s="109">
        <f t="shared" si="1"/>
        <v>0</v>
      </c>
      <c r="G259" s="229"/>
    </row>
    <row r="260" spans="2:7" ht="13.5" hidden="1" customHeight="1">
      <c r="B260" s="95"/>
      <c r="C260" s="19"/>
      <c r="D260" s="84"/>
      <c r="E260" s="344" t="s">
        <v>280</v>
      </c>
      <c r="F260" s="76">
        <f>SUM(F250:F259)</f>
        <v>66.618333333333325</v>
      </c>
      <c r="G260" s="112"/>
    </row>
    <row r="261" spans="2:7" ht="13.5" hidden="1" customHeight="1">
      <c r="B261" s="78"/>
      <c r="C261" s="84"/>
      <c r="D261" s="19"/>
      <c r="E261" s="93"/>
      <c r="F261" s="116"/>
      <c r="G261" s="23"/>
    </row>
    <row r="262" spans="2:7" ht="13.5" hidden="1" customHeight="1">
      <c r="B262" s="95"/>
      <c r="C262" s="19"/>
      <c r="D262" s="104" t="s">
        <v>281</v>
      </c>
      <c r="E262" s="104" t="s">
        <v>282</v>
      </c>
      <c r="F262" s="104" t="s">
        <v>225</v>
      </c>
      <c r="G262" s="23"/>
    </row>
    <row r="263" spans="2:7" ht="13.5" hidden="1" customHeight="1">
      <c r="B263" s="78"/>
      <c r="C263" s="84" t="s">
        <v>56</v>
      </c>
      <c r="D263" s="108">
        <f>E58</f>
        <v>0</v>
      </c>
      <c r="E263" s="123">
        <f>+F246</f>
        <v>35.853333333333339</v>
      </c>
      <c r="F263" s="109">
        <f>ROUND(+E263*D263,2)</f>
        <v>0</v>
      </c>
      <c r="G263" s="23"/>
    </row>
    <row r="264" spans="2:7" ht="13.5" hidden="1" customHeight="1">
      <c r="B264" s="78"/>
      <c r="C264" s="84" t="s">
        <v>283</v>
      </c>
      <c r="D264" s="108">
        <f>E59</f>
        <v>0</v>
      </c>
      <c r="E264" s="233">
        <f>+F260-F255</f>
        <v>62.201666666666661</v>
      </c>
      <c r="F264" s="109">
        <f>ROUND(+E264*D264,2)</f>
        <v>0</v>
      </c>
      <c r="G264" s="23"/>
    </row>
    <row r="265" spans="2:7" ht="13.5" hidden="1" customHeight="1">
      <c r="B265" s="78"/>
      <c r="C265" s="84" t="s">
        <v>284</v>
      </c>
      <c r="D265" s="108">
        <f>E56</f>
        <v>0</v>
      </c>
      <c r="E265" s="123">
        <f>+F260-F257</f>
        <v>66.618333333333325</v>
      </c>
      <c r="F265" s="109">
        <f>ROUND(+E265*D265,2)</f>
        <v>0</v>
      </c>
      <c r="G265" s="23"/>
    </row>
    <row r="266" spans="2:7" ht="13.5" hidden="1" customHeight="1">
      <c r="B266" s="78"/>
      <c r="C266" s="84" t="s">
        <v>53</v>
      </c>
      <c r="D266" s="108">
        <f>E61</f>
        <v>0</v>
      </c>
      <c r="E266" s="121">
        <f>F246+F245</f>
        <v>45.851666666666674</v>
      </c>
      <c r="F266" s="109">
        <f>ROUND(+E266*D266,2)</f>
        <v>0</v>
      </c>
      <c r="G266" s="23"/>
    </row>
    <row r="267" spans="2:7" ht="13.5" hidden="1" customHeight="1">
      <c r="B267" s="78"/>
      <c r="C267" s="19"/>
      <c r="D267" s="84"/>
      <c r="E267" s="344" t="s">
        <v>285</v>
      </c>
      <c r="F267" s="76">
        <f>SUM(F263:F266)</f>
        <v>0</v>
      </c>
      <c r="G267" s="112" t="s">
        <v>229</v>
      </c>
    </row>
    <row r="268" spans="2:7" ht="13.5" hidden="1" customHeight="1">
      <c r="B268" s="78"/>
      <c r="C268" s="19"/>
      <c r="D268" s="16"/>
      <c r="E268" s="344" t="s">
        <v>286</v>
      </c>
      <c r="F268" s="76">
        <f>E9*F267</f>
        <v>0</v>
      </c>
      <c r="G268" s="112" t="s">
        <v>229</v>
      </c>
    </row>
    <row r="269" spans="2:7" ht="13.5" hidden="1" customHeight="1">
      <c r="B269" s="86"/>
      <c r="C269" s="19"/>
      <c r="D269" s="19"/>
      <c r="E269" s="93"/>
      <c r="F269" s="116"/>
      <c r="G269" s="23"/>
    </row>
    <row r="270" spans="2:7" ht="13.5" customHeight="1">
      <c r="B270" s="66" t="s">
        <v>570</v>
      </c>
      <c r="C270" s="13"/>
      <c r="D270" s="101"/>
      <c r="E270" s="101"/>
      <c r="F270" s="101"/>
      <c r="G270" s="14"/>
    </row>
    <row r="271" spans="2:7" ht="13.5" customHeight="1">
      <c r="B271" s="118"/>
      <c r="C271" s="119"/>
      <c r="D271" s="104" t="s">
        <v>288</v>
      </c>
      <c r="E271" s="234" t="s">
        <v>224</v>
      </c>
      <c r="F271" s="82" t="s">
        <v>277</v>
      </c>
      <c r="G271" s="23"/>
    </row>
    <row r="272" spans="2:7" ht="13.5" customHeight="1">
      <c r="B272" s="118"/>
      <c r="C272" s="119" t="s">
        <v>289</v>
      </c>
      <c r="D272" s="122">
        <v>2</v>
      </c>
      <c r="E272" s="123">
        <v>12</v>
      </c>
      <c r="F272" s="72">
        <f>(D272*E272)/12</f>
        <v>2</v>
      </c>
      <c r="G272" s="23"/>
    </row>
    <row r="273" spans="2:7" ht="13.5" customHeight="1">
      <c r="B273" s="118"/>
      <c r="C273" s="119" t="s">
        <v>29</v>
      </c>
      <c r="D273" s="122">
        <v>2</v>
      </c>
      <c r="E273" s="123">
        <v>110.5</v>
      </c>
      <c r="F273" s="72">
        <f>(D273*E273)/12</f>
        <v>18.416666666666668</v>
      </c>
      <c r="G273" s="23"/>
    </row>
    <row r="274" spans="2:7" ht="13.5" customHeight="1">
      <c r="B274" s="78"/>
      <c r="C274" s="117" t="s">
        <v>42</v>
      </c>
      <c r="D274" s="120">
        <v>2</v>
      </c>
      <c r="E274" s="121">
        <v>34</v>
      </c>
      <c r="F274" s="72">
        <f>(D274*E274)/12</f>
        <v>5.666666666666667</v>
      </c>
      <c r="G274" s="124"/>
    </row>
    <row r="275" spans="2:7" ht="13.5" customHeight="1">
      <c r="B275" s="78"/>
      <c r="C275" s="117" t="s">
        <v>50</v>
      </c>
      <c r="D275" s="120">
        <v>4</v>
      </c>
      <c r="E275" s="121">
        <v>39</v>
      </c>
      <c r="F275" s="72">
        <f>(D275*E275)/12</f>
        <v>13</v>
      </c>
      <c r="G275" s="124"/>
    </row>
    <row r="276" spans="2:7" ht="13.5" customHeight="1">
      <c r="B276" s="95"/>
      <c r="C276" s="84"/>
      <c r="D276" s="19"/>
      <c r="E276" s="344" t="s">
        <v>290</v>
      </c>
      <c r="F276" s="76">
        <f>SUM(F272:F275)</f>
        <v>39.083333333333336</v>
      </c>
      <c r="G276" s="112" t="s">
        <v>229</v>
      </c>
    </row>
    <row r="277" spans="2:7" ht="13.5" customHeight="1">
      <c r="B277" s="95"/>
      <c r="C277" s="19"/>
      <c r="D277" s="19"/>
      <c r="E277" s="93"/>
      <c r="F277" s="93"/>
      <c r="G277" s="23"/>
    </row>
    <row r="278" spans="2:7" ht="13.5" customHeight="1">
      <c r="B278" s="69"/>
      <c r="C278" s="79"/>
      <c r="D278" s="104" t="s">
        <v>291</v>
      </c>
      <c r="E278" s="104" t="s">
        <v>282</v>
      </c>
      <c r="F278" s="104" t="s">
        <v>225</v>
      </c>
      <c r="G278" s="23"/>
    </row>
    <row r="279" spans="2:7" ht="13.5" customHeight="1">
      <c r="B279" s="78"/>
      <c r="C279" s="19"/>
      <c r="D279" s="108">
        <v>1</v>
      </c>
      <c r="E279" s="108">
        <f>F276</f>
        <v>39.083333333333336</v>
      </c>
      <c r="F279" s="109">
        <f>ROUND(+E279*D279,2)</f>
        <v>39.08</v>
      </c>
      <c r="G279" s="23"/>
    </row>
    <row r="280" spans="2:7" ht="13.5" customHeight="1">
      <c r="B280" s="78"/>
      <c r="C280" s="19"/>
      <c r="D280" s="252"/>
      <c r="E280" s="252"/>
      <c r="F280" s="252"/>
      <c r="G280" s="23"/>
    </row>
    <row r="281" spans="2:7" ht="13.5" customHeight="1">
      <c r="B281" s="86"/>
      <c r="C281" s="19"/>
      <c r="D281" s="19"/>
      <c r="E281" s="344" t="s">
        <v>285</v>
      </c>
      <c r="F281" s="76">
        <f>F279</f>
        <v>39.08</v>
      </c>
      <c r="G281" s="23"/>
    </row>
    <row r="282" spans="2:7" ht="13.5" customHeight="1">
      <c r="B282" s="86"/>
      <c r="C282" s="19"/>
      <c r="D282" s="19"/>
      <c r="E282" s="344" t="s">
        <v>286</v>
      </c>
      <c r="F282" s="76">
        <f>+E9*F281</f>
        <v>468.96</v>
      </c>
      <c r="G282" s="112" t="s">
        <v>229</v>
      </c>
    </row>
    <row r="283" spans="2:7" ht="13.5" customHeight="1" thickBot="1">
      <c r="B283" s="125"/>
      <c r="C283" s="48"/>
      <c r="D283" s="48"/>
      <c r="E283" s="126"/>
      <c r="F283" s="127"/>
      <c r="G283" s="29"/>
    </row>
    <row r="284" spans="2:7" ht="13.5" customHeight="1" thickBot="1">
      <c r="B284" s="78"/>
      <c r="C284" s="19"/>
      <c r="D284" s="19"/>
      <c r="E284" s="93"/>
      <c r="F284" s="80"/>
      <c r="G284" s="23"/>
    </row>
    <row r="285" spans="2:7" ht="13.5" customHeight="1">
      <c r="B285" s="86"/>
      <c r="C285" s="128"/>
      <c r="D285" s="129"/>
      <c r="E285" s="129"/>
      <c r="F285" s="130"/>
      <c r="G285" s="112"/>
    </row>
    <row r="286" spans="2:7" ht="13.5" customHeight="1">
      <c r="B286" s="86"/>
      <c r="C286" s="347" t="s">
        <v>270</v>
      </c>
      <c r="D286" s="132"/>
      <c r="E286" s="76">
        <f>F281+F267</f>
        <v>39.08</v>
      </c>
      <c r="F286" s="133" t="s">
        <v>229</v>
      </c>
      <c r="G286" s="23"/>
    </row>
    <row r="287" spans="2:7" ht="13.5" customHeight="1">
      <c r="B287" s="86"/>
      <c r="C287" s="134" t="s">
        <v>571</v>
      </c>
      <c r="D287" s="132"/>
      <c r="E287" s="132"/>
      <c r="F287" s="135"/>
      <c r="G287" s="23"/>
    </row>
    <row r="288" spans="2:7" ht="13.5" customHeight="1">
      <c r="B288" s="86"/>
      <c r="C288" s="347" t="s">
        <v>272</v>
      </c>
      <c r="D288" s="132"/>
      <c r="E288" s="76">
        <f>+E286*E9</f>
        <v>468.96</v>
      </c>
      <c r="F288" s="133" t="s">
        <v>229</v>
      </c>
      <c r="G288" s="23"/>
    </row>
    <row r="289" spans="1:7" ht="13.5" customHeight="1" thickBot="1">
      <c r="B289" s="86"/>
      <c r="C289" s="136" t="s">
        <v>571</v>
      </c>
      <c r="D289" s="137"/>
      <c r="E289" s="137"/>
      <c r="F289" s="138"/>
      <c r="G289" s="112"/>
    </row>
    <row r="290" spans="1:7" ht="13.5" customHeight="1" thickBot="1">
      <c r="B290" s="139"/>
      <c r="C290" s="48"/>
      <c r="D290" s="48"/>
      <c r="E290" s="48"/>
      <c r="F290" s="127"/>
      <c r="G290" s="29"/>
    </row>
    <row r="291" spans="1:7" ht="13.5" customHeight="1">
      <c r="A291" s="3"/>
      <c r="B291" s="3"/>
      <c r="E291" s="100"/>
      <c r="F291" s="2"/>
    </row>
    <row r="292" spans="1:7" ht="13.5" customHeight="1">
      <c r="A292" s="757" t="s">
        <v>572</v>
      </c>
      <c r="B292" s="758"/>
      <c r="C292" s="758"/>
      <c r="D292" s="758"/>
      <c r="E292" s="758"/>
      <c r="F292" s="758"/>
      <c r="G292" s="758"/>
    </row>
    <row r="293" spans="1:7" ht="13.5" customHeight="1">
      <c r="B293" s="3"/>
      <c r="F293" s="100"/>
    </row>
    <row r="294" spans="1:7" ht="13.5" customHeight="1">
      <c r="A294" s="772" t="s">
        <v>298</v>
      </c>
      <c r="B294" s="772"/>
      <c r="C294" s="772"/>
      <c r="D294" s="772"/>
      <c r="E294" s="772"/>
      <c r="F294" s="772"/>
      <c r="G294" s="772"/>
    </row>
    <row r="295" spans="1:7" ht="13.5" customHeight="1" thickBot="1">
      <c r="B295" s="3"/>
      <c r="F295" s="100"/>
    </row>
    <row r="296" spans="1:7" ht="13.5" customHeight="1">
      <c r="A296" s="52"/>
      <c r="B296" s="349" t="s">
        <v>299</v>
      </c>
      <c r="C296" s="13"/>
      <c r="D296" s="13"/>
      <c r="E296" s="140"/>
      <c r="F296" s="13"/>
      <c r="G296" s="14"/>
    </row>
    <row r="297" spans="1:7" ht="13.5" customHeight="1">
      <c r="A297" s="52"/>
      <c r="B297" s="86"/>
      <c r="C297" s="19"/>
      <c r="D297" s="19"/>
      <c r="E297" s="93"/>
      <c r="F297" s="19"/>
      <c r="G297" s="23"/>
    </row>
    <row r="298" spans="1:7">
      <c r="A298" s="52"/>
      <c r="B298" s="141" t="s">
        <v>532</v>
      </c>
      <c r="C298" s="19"/>
      <c r="D298" s="19"/>
      <c r="E298" s="142">
        <v>0.2</v>
      </c>
      <c r="F298" s="19"/>
      <c r="G298" s="23"/>
    </row>
    <row r="299" spans="1:7">
      <c r="A299" s="52"/>
      <c r="B299" s="141"/>
      <c r="C299" s="19"/>
      <c r="D299" s="19"/>
      <c r="E299" s="19"/>
      <c r="F299" s="19"/>
      <c r="G299" s="23"/>
    </row>
    <row r="300" spans="1:7" ht="12.75" customHeight="1">
      <c r="A300" s="52"/>
      <c r="B300" s="143"/>
      <c r="C300" s="144" t="s">
        <v>300</v>
      </c>
      <c r="D300" s="145"/>
      <c r="E300" s="72">
        <v>1</v>
      </c>
      <c r="F300" s="77" t="s">
        <v>301</v>
      </c>
      <c r="G300" s="23"/>
    </row>
    <row r="301" spans="1:7">
      <c r="A301" s="52"/>
      <c r="B301" s="143"/>
      <c r="C301" s="144" t="s">
        <v>302</v>
      </c>
      <c r="D301" s="145"/>
      <c r="E301" s="21">
        <v>580706</v>
      </c>
      <c r="F301" s="77" t="s">
        <v>229</v>
      </c>
      <c r="G301" s="23"/>
    </row>
    <row r="302" spans="1:7">
      <c r="A302" s="52"/>
      <c r="B302" s="143"/>
      <c r="C302" s="144" t="s">
        <v>489</v>
      </c>
      <c r="D302" s="145"/>
      <c r="E302" s="21">
        <v>250000</v>
      </c>
      <c r="F302" s="77"/>
      <c r="G302" s="23"/>
    </row>
    <row r="303" spans="1:7">
      <c r="A303" s="52"/>
      <c r="B303" s="143"/>
      <c r="C303" s="144" t="s">
        <v>303</v>
      </c>
      <c r="D303" s="145"/>
      <c r="E303" s="21">
        <f>E301+E302</f>
        <v>830706</v>
      </c>
      <c r="F303" s="77" t="s">
        <v>229</v>
      </c>
      <c r="G303" s="23"/>
    </row>
    <row r="304" spans="1:7">
      <c r="A304" s="52"/>
      <c r="B304" s="143"/>
      <c r="C304" s="144" t="s">
        <v>304</v>
      </c>
      <c r="D304" s="145"/>
      <c r="E304" s="21">
        <v>5</v>
      </c>
      <c r="F304" s="77" t="s">
        <v>305</v>
      </c>
      <c r="G304" s="23"/>
    </row>
    <row r="305" spans="1:12" ht="12" thickBot="1">
      <c r="A305" s="52"/>
      <c r="B305" s="146"/>
      <c r="C305" s="144" t="s">
        <v>306</v>
      </c>
      <c r="D305" s="145"/>
      <c r="E305" s="27">
        <f>E298*E303</f>
        <v>166141.20000000001</v>
      </c>
      <c r="F305" s="77" t="s">
        <v>229</v>
      </c>
      <c r="G305" s="23"/>
      <c r="J305" s="144"/>
      <c r="K305" s="145"/>
      <c r="L305" s="77"/>
    </row>
    <row r="306" spans="1:12">
      <c r="A306" s="52"/>
      <c r="B306" s="146"/>
      <c r="C306" s="144" t="s">
        <v>307</v>
      </c>
      <c r="D306" s="145"/>
      <c r="E306" s="147">
        <v>2504.64</v>
      </c>
      <c r="F306" s="77" t="s">
        <v>308</v>
      </c>
      <c r="G306" s="23"/>
      <c r="J306" s="144"/>
      <c r="K306" s="145"/>
      <c r="L306" s="77"/>
    </row>
    <row r="307" spans="1:12">
      <c r="A307" s="52"/>
      <c r="B307" s="141"/>
      <c r="C307" s="144" t="s">
        <v>309</v>
      </c>
      <c r="D307" s="145"/>
      <c r="E307" s="148">
        <f>(E303-E305)/(E304*E306)</f>
        <v>53.066692219241098</v>
      </c>
      <c r="F307" s="77" t="s">
        <v>229</v>
      </c>
      <c r="G307" s="23"/>
      <c r="J307" s="144"/>
      <c r="K307" s="145"/>
      <c r="L307" s="77"/>
    </row>
    <row r="308" spans="1:12">
      <c r="A308" s="52"/>
      <c r="B308" s="141"/>
      <c r="C308" s="149" t="s">
        <v>310</v>
      </c>
      <c r="D308" s="145"/>
      <c r="E308" s="150">
        <f>E307*E306</f>
        <v>132912.96000000002</v>
      </c>
      <c r="F308" s="77" t="s">
        <v>229</v>
      </c>
      <c r="G308" s="23"/>
      <c r="J308" s="144"/>
      <c r="K308" s="145"/>
      <c r="L308" s="77"/>
    </row>
    <row r="309" spans="1:12">
      <c r="A309" s="52"/>
      <c r="B309" s="141"/>
      <c r="C309" s="149" t="s">
        <v>311</v>
      </c>
      <c r="D309" s="145"/>
      <c r="E309" s="151">
        <f>E308/12</f>
        <v>11076.080000000002</v>
      </c>
      <c r="F309" s="77" t="s">
        <v>312</v>
      </c>
      <c r="G309" s="23"/>
      <c r="J309" s="144"/>
      <c r="K309" s="145"/>
      <c r="L309" s="77"/>
    </row>
    <row r="310" spans="1:12" ht="12" thickBot="1">
      <c r="A310" s="52"/>
      <c r="B310" s="141"/>
      <c r="C310" s="149" t="s">
        <v>313</v>
      </c>
      <c r="D310" s="145"/>
      <c r="E310" s="152">
        <f>E300*E309</f>
        <v>11076.080000000002</v>
      </c>
      <c r="F310" s="77" t="s">
        <v>312</v>
      </c>
      <c r="G310" s="23"/>
      <c r="J310" s="144"/>
      <c r="K310" s="145"/>
      <c r="L310" s="77"/>
    </row>
    <row r="311" spans="1:12">
      <c r="A311" s="52"/>
      <c r="B311" s="141"/>
      <c r="C311" s="149"/>
      <c r="D311" s="145"/>
      <c r="E311" s="149"/>
      <c r="F311" s="77"/>
      <c r="G311" s="23"/>
      <c r="J311" s="144"/>
      <c r="K311" s="145"/>
      <c r="L311" s="77"/>
    </row>
    <row r="312" spans="1:12">
      <c r="A312" s="52"/>
      <c r="B312" s="141"/>
      <c r="C312" s="149"/>
      <c r="D312" s="145"/>
      <c r="E312" s="149"/>
      <c r="F312" s="77"/>
      <c r="G312" s="23"/>
      <c r="J312" s="144"/>
      <c r="K312" s="145"/>
      <c r="L312" s="77"/>
    </row>
    <row r="313" spans="1:12" hidden="1">
      <c r="A313" s="52"/>
      <c r="B313" s="141"/>
      <c r="C313" s="144" t="s">
        <v>300</v>
      </c>
      <c r="D313" s="145"/>
      <c r="E313" s="72">
        <v>0</v>
      </c>
      <c r="F313" s="77" t="s">
        <v>301</v>
      </c>
      <c r="G313" s="23"/>
      <c r="J313" s="149"/>
      <c r="K313" s="145"/>
      <c r="L313" s="77"/>
    </row>
    <row r="314" spans="1:12" hidden="1">
      <c r="A314" s="52"/>
      <c r="B314" s="141"/>
      <c r="C314" s="144" t="s">
        <v>302</v>
      </c>
      <c r="D314" s="145"/>
      <c r="E314" s="21">
        <v>0</v>
      </c>
      <c r="F314" s="77" t="s">
        <v>229</v>
      </c>
      <c r="G314" s="23"/>
      <c r="J314" s="149"/>
      <c r="K314" s="145"/>
      <c r="L314" s="77"/>
    </row>
    <row r="315" spans="1:12" hidden="1">
      <c r="A315" s="52"/>
      <c r="B315" s="141"/>
      <c r="C315" s="144" t="s">
        <v>548</v>
      </c>
      <c r="D315" s="145"/>
      <c r="E315" s="21">
        <v>280000</v>
      </c>
      <c r="F315" s="77"/>
      <c r="G315" s="23"/>
      <c r="J315" s="149"/>
      <c r="K315" s="145"/>
      <c r="L315" s="77"/>
    </row>
    <row r="316" spans="1:12" hidden="1">
      <c r="A316" s="52"/>
      <c r="B316" s="141"/>
      <c r="C316" s="144" t="s">
        <v>303</v>
      </c>
      <c r="D316" s="145"/>
      <c r="E316" s="21">
        <f>E314+E315</f>
        <v>280000</v>
      </c>
      <c r="F316" s="77" t="s">
        <v>229</v>
      </c>
      <c r="G316" s="23"/>
      <c r="J316" s="149"/>
      <c r="K316" s="145"/>
      <c r="L316" s="77"/>
    </row>
    <row r="317" spans="1:12" hidden="1">
      <c r="A317" s="52"/>
      <c r="B317" s="141"/>
      <c r="C317" s="144" t="s">
        <v>304</v>
      </c>
      <c r="D317" s="145"/>
      <c r="E317" s="21">
        <v>5</v>
      </c>
      <c r="F317" s="77" t="s">
        <v>305</v>
      </c>
      <c r="G317" s="23"/>
      <c r="J317" s="149"/>
      <c r="K317" s="145"/>
      <c r="L317" s="77"/>
    </row>
    <row r="318" spans="1:12" ht="12" hidden="1" thickBot="1">
      <c r="A318" s="52"/>
      <c r="B318" s="141"/>
      <c r="C318" s="144" t="s">
        <v>306</v>
      </c>
      <c r="D318" s="145"/>
      <c r="E318" s="27">
        <f>E316*E298</f>
        <v>56000</v>
      </c>
      <c r="F318" s="77" t="s">
        <v>229</v>
      </c>
      <c r="G318" s="23"/>
      <c r="J318" s="144"/>
      <c r="K318" s="145"/>
      <c r="L318" s="77"/>
    </row>
    <row r="319" spans="1:12" hidden="1">
      <c r="A319" s="52"/>
      <c r="B319" s="141"/>
      <c r="C319" s="144" t="s">
        <v>307</v>
      </c>
      <c r="D319" s="145"/>
      <c r="E319" s="147">
        <f>E306</f>
        <v>2504.64</v>
      </c>
      <c r="F319" s="77" t="s">
        <v>308</v>
      </c>
      <c r="G319" s="23"/>
      <c r="J319" s="144"/>
      <c r="K319" s="145"/>
      <c r="L319" s="77"/>
    </row>
    <row r="320" spans="1:12" hidden="1">
      <c r="A320" s="52"/>
      <c r="B320" s="141"/>
      <c r="C320" s="144" t="s">
        <v>309</v>
      </c>
      <c r="D320" s="145"/>
      <c r="E320" s="148">
        <f>(E316-E318)*1.5/(E317*E319*1.25)</f>
        <v>21.464162514373324</v>
      </c>
      <c r="F320" s="77" t="s">
        <v>229</v>
      </c>
      <c r="G320" s="23"/>
      <c r="J320" s="144"/>
      <c r="K320" s="145"/>
      <c r="L320" s="77"/>
    </row>
    <row r="321" spans="1:12" hidden="1">
      <c r="A321" s="52"/>
      <c r="B321" s="141"/>
      <c r="C321" s="149" t="s">
        <v>310</v>
      </c>
      <c r="D321" s="145"/>
      <c r="E321" s="150">
        <f>E320*E319</f>
        <v>53760</v>
      </c>
      <c r="F321" s="77" t="s">
        <v>229</v>
      </c>
      <c r="G321" s="23"/>
      <c r="J321" s="144"/>
      <c r="K321" s="145"/>
      <c r="L321" s="77"/>
    </row>
    <row r="322" spans="1:12" hidden="1">
      <c r="A322" s="52"/>
      <c r="B322" s="141"/>
      <c r="C322" s="149" t="s">
        <v>311</v>
      </c>
      <c r="D322" s="145"/>
      <c r="E322" s="151">
        <f>E321/12</f>
        <v>4480</v>
      </c>
      <c r="F322" s="77" t="s">
        <v>312</v>
      </c>
      <c r="G322" s="23"/>
      <c r="J322" s="144"/>
      <c r="K322" s="145"/>
      <c r="L322" s="77"/>
    </row>
    <row r="323" spans="1:12" ht="12" hidden="1" thickBot="1">
      <c r="A323" s="52"/>
      <c r="B323" s="141"/>
      <c r="C323" s="149" t="s">
        <v>313</v>
      </c>
      <c r="D323" s="145"/>
      <c r="E323" s="152">
        <f>E313*E322</f>
        <v>0</v>
      </c>
      <c r="F323" s="77" t="s">
        <v>312</v>
      </c>
      <c r="G323" s="23"/>
      <c r="J323" s="144"/>
      <c r="K323" s="145"/>
      <c r="L323" s="77"/>
    </row>
    <row r="324" spans="1:12" hidden="1">
      <c r="A324" s="52"/>
      <c r="B324" s="86"/>
      <c r="C324" s="19"/>
      <c r="D324" s="19"/>
      <c r="E324" s="93"/>
      <c r="F324" s="19"/>
      <c r="G324" s="23"/>
      <c r="J324" s="144"/>
      <c r="K324" s="145"/>
      <c r="L324" s="77"/>
    </row>
    <row r="325" spans="1:12">
      <c r="A325" s="52"/>
      <c r="B325" s="86"/>
      <c r="C325" s="19"/>
      <c r="D325" s="84" t="s">
        <v>316</v>
      </c>
      <c r="E325" s="76">
        <f>E323+E310</f>
        <v>11076.080000000002</v>
      </c>
      <c r="F325" s="77" t="s">
        <v>229</v>
      </c>
      <c r="G325" s="23"/>
      <c r="J325" s="144"/>
      <c r="K325" s="145"/>
      <c r="L325" s="77"/>
    </row>
    <row r="326" spans="1:12">
      <c r="A326" s="52"/>
      <c r="B326" s="86"/>
      <c r="C326" s="19"/>
      <c r="D326" s="344" t="s">
        <v>286</v>
      </c>
      <c r="E326" s="171">
        <f>E9*E325</f>
        <v>132912.96000000002</v>
      </c>
      <c r="F326" s="77" t="s">
        <v>229</v>
      </c>
      <c r="G326" s="23"/>
      <c r="J326" s="144"/>
      <c r="K326" s="145"/>
      <c r="L326" s="77"/>
    </row>
    <row r="327" spans="1:12">
      <c r="B327" s="86"/>
      <c r="C327" s="19"/>
      <c r="D327" s="19"/>
      <c r="E327" s="19"/>
      <c r="F327" s="80"/>
      <c r="G327" s="235"/>
    </row>
    <row r="328" spans="1:12">
      <c r="B328" s="86"/>
      <c r="C328" s="19"/>
      <c r="D328" s="19"/>
      <c r="E328" s="19"/>
      <c r="F328" s="80"/>
      <c r="G328" s="235"/>
    </row>
    <row r="329" spans="1:12">
      <c r="B329" s="86"/>
      <c r="C329" s="19"/>
      <c r="D329" s="19"/>
      <c r="E329" s="19"/>
      <c r="F329" s="80"/>
      <c r="G329" s="235"/>
    </row>
    <row r="330" spans="1:12">
      <c r="A330" s="52"/>
      <c r="B330" s="350" t="s">
        <v>317</v>
      </c>
      <c r="C330" s="19"/>
      <c r="D330" s="19"/>
      <c r="E330" s="19"/>
      <c r="F330" s="80"/>
      <c r="G330" s="235"/>
    </row>
    <row r="331" spans="1:12">
      <c r="A331" s="52"/>
      <c r="B331" s="350" t="s">
        <v>318</v>
      </c>
      <c r="C331" s="19"/>
      <c r="D331" s="19"/>
      <c r="E331" s="19"/>
      <c r="F331" s="80"/>
      <c r="G331" s="235"/>
    </row>
    <row r="332" spans="1:12">
      <c r="B332" s="141" t="s">
        <v>319</v>
      </c>
      <c r="C332" s="19"/>
      <c r="D332" s="19"/>
      <c r="E332" s="19"/>
      <c r="F332" s="80"/>
      <c r="G332" s="235"/>
    </row>
    <row r="333" spans="1:12">
      <c r="B333" s="153"/>
      <c r="C333" s="154" t="s">
        <v>320</v>
      </c>
      <c r="D333" s="155"/>
      <c r="E333" s="80"/>
      <c r="F333" s="80"/>
      <c r="G333" s="235"/>
    </row>
    <row r="334" spans="1:12">
      <c r="B334" s="153"/>
      <c r="C334" s="19"/>
      <c r="D334" s="19"/>
      <c r="E334" s="19"/>
      <c r="F334" s="80"/>
      <c r="G334" s="235"/>
    </row>
    <row r="335" spans="1:12" ht="13.5" customHeight="1">
      <c r="B335" s="153"/>
      <c r="C335" s="156" t="s">
        <v>321</v>
      </c>
      <c r="D335" s="157">
        <f>E298</f>
        <v>0.2</v>
      </c>
      <c r="E335" s="19"/>
      <c r="F335" s="80"/>
      <c r="G335" s="235"/>
    </row>
    <row r="336" spans="1:12">
      <c r="B336" s="153"/>
      <c r="C336" s="158" t="s">
        <v>322</v>
      </c>
      <c r="D336" s="159">
        <v>5</v>
      </c>
      <c r="E336" s="19"/>
      <c r="F336" s="80"/>
      <c r="G336" s="235"/>
    </row>
    <row r="337" spans="2:7">
      <c r="B337" s="153"/>
      <c r="C337" s="158" t="s">
        <v>323</v>
      </c>
      <c r="D337" s="160">
        <v>0.104</v>
      </c>
      <c r="E337" s="19"/>
      <c r="F337" s="80"/>
      <c r="G337" s="235"/>
    </row>
    <row r="338" spans="2:7" ht="12" thickBot="1">
      <c r="B338" s="143"/>
      <c r="C338" s="161" t="s">
        <v>324</v>
      </c>
      <c r="D338" s="162">
        <f>((2+(D336-1)*(D335+1))/(24*D336)*D337)</f>
        <v>5.8933333333333329E-3</v>
      </c>
      <c r="E338" s="77"/>
      <c r="F338" s="77"/>
      <c r="G338" s="235"/>
    </row>
    <row r="339" spans="2:7">
      <c r="B339" s="143"/>
      <c r="C339" s="145"/>
      <c r="D339" s="145"/>
      <c r="E339" s="77"/>
      <c r="F339" s="77"/>
      <c r="G339" s="235"/>
    </row>
    <row r="340" spans="2:7">
      <c r="B340" s="143"/>
      <c r="C340" s="144" t="s">
        <v>325</v>
      </c>
      <c r="D340" s="77"/>
      <c r="E340" s="72">
        <f>E313+E300</f>
        <v>1</v>
      </c>
      <c r="F340" s="77" t="s">
        <v>301</v>
      </c>
      <c r="G340" s="235"/>
    </row>
    <row r="341" spans="2:7">
      <c r="B341" s="143"/>
      <c r="C341" s="144" t="s">
        <v>303</v>
      </c>
      <c r="D341" s="145"/>
      <c r="E341" s="21">
        <f>E303</f>
        <v>830706</v>
      </c>
      <c r="F341" s="77" t="s">
        <v>229</v>
      </c>
      <c r="G341" s="235"/>
    </row>
    <row r="342" spans="2:7">
      <c r="B342" s="143"/>
      <c r="C342" s="144" t="s">
        <v>326</v>
      </c>
      <c r="D342" s="145"/>
      <c r="E342" s="163">
        <f>D338</f>
        <v>5.8933333333333329E-3</v>
      </c>
      <c r="F342" s="164"/>
      <c r="G342" s="235"/>
    </row>
    <row r="343" spans="2:7" ht="10.95" customHeight="1">
      <c r="B343" s="143"/>
      <c r="C343" s="144" t="s">
        <v>327</v>
      </c>
      <c r="D343" s="145"/>
      <c r="E343" s="21">
        <f>E341*E342</f>
        <v>4895.6273599999995</v>
      </c>
      <c r="F343" s="77" t="s">
        <v>229</v>
      </c>
      <c r="G343" s="235"/>
    </row>
    <row r="344" spans="2:7">
      <c r="B344" s="165"/>
      <c r="C344" s="149" t="s">
        <v>313</v>
      </c>
      <c r="D344" s="145"/>
      <c r="E344" s="166">
        <f>E343*E340</f>
        <v>4895.6273599999995</v>
      </c>
      <c r="F344" s="167"/>
      <c r="G344" s="235"/>
    </row>
    <row r="345" spans="2:7" hidden="1">
      <c r="B345" s="165"/>
      <c r="C345" s="149"/>
      <c r="D345" s="145"/>
      <c r="E345" s="145"/>
      <c r="F345" s="167"/>
      <c r="G345" s="235"/>
    </row>
    <row r="346" spans="2:7" hidden="1">
      <c r="B346" s="350" t="s">
        <v>314</v>
      </c>
      <c r="C346" s="149"/>
      <c r="D346" s="145"/>
      <c r="E346" s="145"/>
      <c r="F346" s="167"/>
      <c r="G346" s="235"/>
    </row>
    <row r="347" spans="2:7" hidden="1">
      <c r="B347" s="141"/>
      <c r="C347" s="154" t="s">
        <v>320</v>
      </c>
      <c r="D347" s="155"/>
      <c r="E347" s="80"/>
      <c r="F347" s="80"/>
      <c r="G347" s="235"/>
    </row>
    <row r="348" spans="2:7" hidden="1">
      <c r="B348" s="86"/>
      <c r="C348" s="19"/>
      <c r="D348" s="19"/>
      <c r="E348" s="19"/>
      <c r="F348" s="80"/>
      <c r="G348" s="235"/>
    </row>
    <row r="349" spans="2:7" hidden="1">
      <c r="B349" s="86"/>
      <c r="C349" s="156" t="s">
        <v>321</v>
      </c>
      <c r="D349" s="157">
        <v>0</v>
      </c>
      <c r="E349" s="19"/>
      <c r="F349" s="80"/>
      <c r="G349" s="235"/>
    </row>
    <row r="350" spans="2:7" hidden="1">
      <c r="B350" s="86"/>
      <c r="C350" s="158" t="s">
        <v>322</v>
      </c>
      <c r="D350" s="159">
        <v>0</v>
      </c>
      <c r="E350" s="19"/>
      <c r="F350" s="80"/>
      <c r="G350" s="235"/>
    </row>
    <row r="351" spans="2:7" hidden="1">
      <c r="B351" s="86"/>
      <c r="C351" s="158" t="s">
        <v>323</v>
      </c>
      <c r="D351" s="160">
        <f>'DADOS DE ENTRADA'!B48</f>
        <v>0.03</v>
      </c>
      <c r="E351" s="19"/>
      <c r="F351" s="80"/>
      <c r="G351" s="235"/>
    </row>
    <row r="352" spans="2:7" ht="12" hidden="1" thickBot="1">
      <c r="B352" s="86"/>
      <c r="C352" s="161" t="s">
        <v>324</v>
      </c>
      <c r="D352" s="162" t="e">
        <f>((2+(D350-1)*(D349+1))/(24*D350)*D351)</f>
        <v>#DIV/0!</v>
      </c>
      <c r="E352" s="77"/>
      <c r="F352" s="77"/>
      <c r="G352" s="235"/>
    </row>
    <row r="353" spans="1:7" hidden="1">
      <c r="B353" s="86"/>
      <c r="C353" s="145"/>
      <c r="D353" s="145"/>
      <c r="E353" s="77"/>
      <c r="F353" s="77"/>
      <c r="G353" s="235"/>
    </row>
    <row r="354" spans="1:7" hidden="1">
      <c r="B354" s="86"/>
      <c r="C354" s="144" t="s">
        <v>328</v>
      </c>
      <c r="D354" s="77"/>
      <c r="E354" s="72">
        <v>0</v>
      </c>
      <c r="F354" s="77" t="s">
        <v>301</v>
      </c>
      <c r="G354" s="235"/>
    </row>
    <row r="355" spans="1:7" hidden="1">
      <c r="B355" s="86"/>
      <c r="C355" s="144" t="s">
        <v>329</v>
      </c>
      <c r="D355" s="145"/>
      <c r="E355" s="21">
        <f>'DADOS DE ENTRADA'!E68</f>
        <v>0</v>
      </c>
      <c r="F355" s="77" t="s">
        <v>229</v>
      </c>
      <c r="G355" s="235"/>
    </row>
    <row r="356" spans="1:7" hidden="1">
      <c r="B356" s="165"/>
      <c r="C356" s="144" t="s">
        <v>326</v>
      </c>
      <c r="D356" s="145"/>
      <c r="E356" s="163" t="e">
        <f>D352</f>
        <v>#DIV/0!</v>
      </c>
      <c r="F356" s="164"/>
      <c r="G356" s="235"/>
    </row>
    <row r="357" spans="1:7" hidden="1">
      <c r="B357" s="165"/>
      <c r="C357" s="144" t="s">
        <v>327</v>
      </c>
      <c r="D357" s="145"/>
      <c r="E357" s="21" t="e">
        <f>E355*E356</f>
        <v>#DIV/0!</v>
      </c>
      <c r="F357" s="77" t="s">
        <v>229</v>
      </c>
      <c r="G357" s="235"/>
    </row>
    <row r="358" spans="1:7" hidden="1">
      <c r="B358" s="165"/>
      <c r="C358" s="149" t="s">
        <v>315</v>
      </c>
      <c r="D358" s="145"/>
      <c r="E358" s="166" t="e">
        <f>E357*E354</f>
        <v>#DIV/0!</v>
      </c>
      <c r="F358" s="77"/>
      <c r="G358" s="235"/>
    </row>
    <row r="359" spans="1:7">
      <c r="B359" s="165"/>
      <c r="C359" s="149"/>
      <c r="D359" s="145"/>
      <c r="E359" s="145"/>
      <c r="F359" s="167"/>
      <c r="G359" s="235"/>
    </row>
    <row r="360" spans="1:7">
      <c r="B360" s="86"/>
      <c r="C360" s="17"/>
      <c r="D360" s="84" t="s">
        <v>330</v>
      </c>
      <c r="E360" s="76">
        <f>E344</f>
        <v>4895.6273599999995</v>
      </c>
      <c r="F360" s="77" t="s">
        <v>229</v>
      </c>
      <c r="G360" s="235"/>
    </row>
    <row r="361" spans="1:7">
      <c r="B361" s="86"/>
      <c r="C361" s="16"/>
      <c r="D361" s="344" t="s">
        <v>293</v>
      </c>
      <c r="E361" s="171">
        <f>E9*E360</f>
        <v>58747.528319999998</v>
      </c>
      <c r="F361" s="77" t="s">
        <v>229</v>
      </c>
      <c r="G361" s="235"/>
    </row>
    <row r="362" spans="1:7">
      <c r="B362" s="153"/>
      <c r="C362" s="19"/>
      <c r="D362" s="19"/>
      <c r="E362" s="19"/>
      <c r="F362" s="80"/>
      <c r="G362" s="235"/>
    </row>
    <row r="363" spans="1:7">
      <c r="A363" s="52"/>
      <c r="B363" s="350" t="s">
        <v>331</v>
      </c>
      <c r="C363" s="19"/>
      <c r="D363" s="19"/>
      <c r="E363" s="19"/>
      <c r="F363" s="93"/>
      <c r="G363" s="23"/>
    </row>
    <row r="364" spans="1:7">
      <c r="A364" s="91"/>
      <c r="B364" s="78"/>
      <c r="C364" s="19"/>
      <c r="D364" s="79" t="s">
        <v>332</v>
      </c>
      <c r="E364" s="237">
        <v>0</v>
      </c>
      <c r="F364" s="77" t="s">
        <v>229</v>
      </c>
      <c r="G364" s="23"/>
    </row>
    <row r="365" spans="1:7">
      <c r="A365" s="91"/>
      <c r="B365" s="78"/>
      <c r="C365" s="19"/>
      <c r="D365" s="79" t="s">
        <v>333</v>
      </c>
      <c r="E365" s="237">
        <v>0</v>
      </c>
      <c r="F365" s="77" t="s">
        <v>229</v>
      </c>
      <c r="G365" s="23"/>
    </row>
    <row r="366" spans="1:7">
      <c r="A366" s="91"/>
      <c r="B366" s="78"/>
      <c r="C366" s="19"/>
      <c r="D366" s="19"/>
      <c r="E366" s="19"/>
      <c r="F366" s="93"/>
      <c r="G366" s="23"/>
    </row>
    <row r="367" spans="1:7">
      <c r="A367" s="91"/>
      <c r="B367" s="78"/>
      <c r="C367" s="144" t="s">
        <v>325</v>
      </c>
      <c r="D367" s="145"/>
      <c r="E367" s="72">
        <f>E340</f>
        <v>1</v>
      </c>
      <c r="F367" s="77" t="s">
        <v>301</v>
      </c>
      <c r="G367" s="23"/>
    </row>
    <row r="368" spans="1:7">
      <c r="A368" s="91"/>
      <c r="B368" s="78"/>
      <c r="C368" s="144" t="s">
        <v>302</v>
      </c>
      <c r="D368" s="145"/>
      <c r="E368" s="21">
        <f>E301</f>
        <v>580706</v>
      </c>
      <c r="F368" s="77" t="s">
        <v>229</v>
      </c>
      <c r="G368" s="23"/>
    </row>
    <row r="369" spans="1:7">
      <c r="A369" s="91"/>
      <c r="B369" s="78"/>
      <c r="C369" s="144" t="s">
        <v>334</v>
      </c>
      <c r="D369" s="397">
        <v>0.05</v>
      </c>
      <c r="E369" s="193">
        <f>E368*D369</f>
        <v>29035.300000000003</v>
      </c>
      <c r="F369" s="351" t="s">
        <v>335</v>
      </c>
      <c r="G369" s="23"/>
    </row>
    <row r="370" spans="1:7">
      <c r="A370" s="91"/>
      <c r="B370" s="78"/>
      <c r="C370" s="144" t="s">
        <v>336</v>
      </c>
      <c r="D370" s="145"/>
      <c r="E370" s="193">
        <f>E368*'DADOS DE ENTRADA'!B63</f>
        <v>5807.06</v>
      </c>
      <c r="F370" s="351" t="s">
        <v>335</v>
      </c>
      <c r="G370" s="23"/>
    </row>
    <row r="371" spans="1:7">
      <c r="A371" s="91"/>
      <c r="B371" s="78"/>
      <c r="C371" s="144" t="s">
        <v>337</v>
      </c>
      <c r="D371" s="145"/>
      <c r="E371" s="76">
        <f>E369+E370+E364+E365</f>
        <v>34842.36</v>
      </c>
      <c r="F371" s="351" t="s">
        <v>335</v>
      </c>
      <c r="G371" s="23"/>
    </row>
    <row r="372" spans="1:7">
      <c r="A372" s="91"/>
      <c r="B372" s="78"/>
      <c r="C372" s="144" t="s">
        <v>338</v>
      </c>
      <c r="D372" s="145"/>
      <c r="E372" s="171">
        <f>E371*E367</f>
        <v>34842.36</v>
      </c>
      <c r="F372" s="351" t="s">
        <v>335</v>
      </c>
      <c r="G372" s="23"/>
    </row>
    <row r="373" spans="1:7">
      <c r="A373" s="91"/>
      <c r="B373" s="78"/>
      <c r="C373" s="19"/>
      <c r="D373" s="19"/>
      <c r="E373" s="19"/>
      <c r="F373" s="93"/>
      <c r="G373" s="23"/>
    </row>
    <row r="374" spans="1:7">
      <c r="A374" s="91"/>
      <c r="B374" s="78"/>
      <c r="C374" s="19"/>
      <c r="D374" s="84" t="s">
        <v>339</v>
      </c>
      <c r="E374" s="76">
        <f>ROUND((E372)/12,2)</f>
        <v>2903.53</v>
      </c>
      <c r="F374" s="77" t="s">
        <v>340</v>
      </c>
      <c r="G374" s="23"/>
    </row>
    <row r="375" spans="1:7">
      <c r="A375" s="91"/>
      <c r="B375" s="78"/>
      <c r="C375" s="19"/>
      <c r="D375" s="344" t="s">
        <v>341</v>
      </c>
      <c r="E375" s="171">
        <f>E9*E374</f>
        <v>34842.36</v>
      </c>
      <c r="F375" s="77" t="s">
        <v>229</v>
      </c>
      <c r="G375" s="23"/>
    </row>
    <row r="376" spans="1:7">
      <c r="A376" s="91"/>
      <c r="B376" s="78"/>
      <c r="C376" s="19"/>
      <c r="D376" s="19"/>
      <c r="E376" s="19"/>
      <c r="F376" s="93"/>
      <c r="G376" s="23"/>
    </row>
    <row r="377" spans="1:7">
      <c r="A377" s="52"/>
      <c r="B377" s="350" t="s">
        <v>342</v>
      </c>
      <c r="C377" s="19"/>
      <c r="D377" s="19"/>
      <c r="E377" s="19"/>
      <c r="F377" s="93"/>
      <c r="G377" s="23"/>
    </row>
    <row r="378" spans="1:7">
      <c r="A378" s="52"/>
      <c r="B378" s="350" t="s">
        <v>318</v>
      </c>
      <c r="C378" s="19"/>
      <c r="D378" s="19"/>
      <c r="E378" s="19"/>
      <c r="F378" s="93"/>
      <c r="G378" s="23"/>
    </row>
    <row r="379" spans="1:7">
      <c r="A379" s="52"/>
      <c r="B379" s="86"/>
      <c r="C379" s="19"/>
      <c r="D379" s="19"/>
      <c r="E379" s="19"/>
      <c r="F379" s="93"/>
      <c r="G379" s="23"/>
    </row>
    <row r="380" spans="1:7">
      <c r="A380" s="52"/>
      <c r="B380" s="86"/>
      <c r="C380" s="144" t="s">
        <v>325</v>
      </c>
      <c r="D380" s="145"/>
      <c r="E380" s="72">
        <f>E340</f>
        <v>1</v>
      </c>
      <c r="F380" s="77" t="s">
        <v>301</v>
      </c>
      <c r="G380" s="23"/>
    </row>
    <row r="381" spans="1:7">
      <c r="A381" s="52"/>
      <c r="B381" s="86"/>
      <c r="C381" s="144" t="s">
        <v>303</v>
      </c>
      <c r="D381" s="145"/>
      <c r="E381" s="168">
        <f>E303</f>
        <v>830706</v>
      </c>
      <c r="F381" s="77" t="s">
        <v>229</v>
      </c>
      <c r="G381" s="23"/>
    </row>
    <row r="382" spans="1:7">
      <c r="A382" s="52"/>
      <c r="B382" s="86"/>
      <c r="C382" s="144" t="s">
        <v>304</v>
      </c>
      <c r="D382" s="145"/>
      <c r="E382" s="168">
        <f>E304</f>
        <v>5</v>
      </c>
      <c r="F382" s="351" t="s">
        <v>305</v>
      </c>
      <c r="G382" s="23"/>
    </row>
    <row r="383" spans="1:7">
      <c r="A383" s="52"/>
      <c r="B383" s="86"/>
      <c r="C383" s="144" t="s">
        <v>343</v>
      </c>
      <c r="D383" s="145"/>
      <c r="E383" s="168">
        <v>0.9</v>
      </c>
      <c r="F383" s="164"/>
      <c r="G383" s="23"/>
    </row>
    <row r="384" spans="1:7">
      <c r="A384" s="52"/>
      <c r="B384" s="86"/>
      <c r="C384" s="144" t="s">
        <v>344</v>
      </c>
      <c r="D384" s="145"/>
      <c r="E384" s="169">
        <v>2504.64</v>
      </c>
      <c r="F384" s="351" t="s">
        <v>345</v>
      </c>
      <c r="G384" s="23"/>
    </row>
    <row r="385" spans="1:7">
      <c r="A385" s="52"/>
      <c r="B385" s="86"/>
      <c r="C385" s="149" t="s">
        <v>337</v>
      </c>
      <c r="D385" s="145"/>
      <c r="E385" s="76">
        <f>(E381*E383)/(E384*E382)</f>
        <v>59.700028746646232</v>
      </c>
      <c r="F385" s="77" t="s">
        <v>229</v>
      </c>
      <c r="G385" s="23"/>
    </row>
    <row r="386" spans="1:7">
      <c r="A386" s="52"/>
      <c r="B386" s="86"/>
      <c r="C386" s="149" t="s">
        <v>282</v>
      </c>
      <c r="D386" s="145"/>
      <c r="E386" s="76">
        <f>(E385*E384)/12</f>
        <v>12460.590000000002</v>
      </c>
      <c r="F386" s="77" t="s">
        <v>229</v>
      </c>
      <c r="G386" s="23"/>
    </row>
    <row r="387" spans="1:7">
      <c r="A387" s="52"/>
      <c r="B387" s="86"/>
      <c r="C387" s="149" t="s">
        <v>338</v>
      </c>
      <c r="D387" s="145"/>
      <c r="E387" s="76">
        <f>E386*E380</f>
        <v>12460.590000000002</v>
      </c>
      <c r="F387" s="77" t="s">
        <v>229</v>
      </c>
      <c r="G387" s="23"/>
    </row>
    <row r="388" spans="1:7">
      <c r="A388" s="52"/>
      <c r="B388" s="86"/>
      <c r="C388" s="19"/>
      <c r="D388" s="19"/>
      <c r="E388" s="19"/>
      <c r="F388" s="93"/>
      <c r="G388" s="23"/>
    </row>
    <row r="389" spans="1:7" hidden="1">
      <c r="A389" s="52"/>
      <c r="B389" s="350" t="s">
        <v>542</v>
      </c>
      <c r="C389" s="19"/>
      <c r="D389" s="19"/>
      <c r="E389" s="19"/>
      <c r="F389" s="93"/>
      <c r="G389" s="23"/>
    </row>
    <row r="390" spans="1:7" hidden="1">
      <c r="A390" s="52"/>
      <c r="B390" s="86"/>
      <c r="C390" s="19"/>
      <c r="D390" s="19"/>
      <c r="E390" s="19"/>
      <c r="F390" s="93"/>
      <c r="G390" s="23"/>
    </row>
    <row r="391" spans="1:7" hidden="1">
      <c r="A391" s="52"/>
      <c r="B391" s="86"/>
      <c r="C391" s="144" t="s">
        <v>328</v>
      </c>
      <c r="D391" s="145"/>
      <c r="E391" s="72">
        <v>0</v>
      </c>
      <c r="F391" s="77" t="s">
        <v>301</v>
      </c>
      <c r="G391" s="23"/>
    </row>
    <row r="392" spans="1:7" hidden="1">
      <c r="A392" s="52"/>
      <c r="B392" s="86"/>
      <c r="C392" s="144" t="s">
        <v>303</v>
      </c>
      <c r="D392" s="145"/>
      <c r="E392" s="168">
        <v>0</v>
      </c>
      <c r="F392" s="77" t="s">
        <v>229</v>
      </c>
      <c r="G392" s="23"/>
    </row>
    <row r="393" spans="1:7" hidden="1">
      <c r="A393" s="52"/>
      <c r="B393" s="86"/>
      <c r="C393" s="144" t="s">
        <v>304</v>
      </c>
      <c r="D393" s="145"/>
      <c r="E393" s="168">
        <v>5</v>
      </c>
      <c r="F393" s="351" t="s">
        <v>305</v>
      </c>
      <c r="G393" s="23"/>
    </row>
    <row r="394" spans="1:7" hidden="1">
      <c r="A394" s="52"/>
      <c r="B394" s="86"/>
      <c r="C394" s="144" t="s">
        <v>343</v>
      </c>
      <c r="D394" s="145"/>
      <c r="E394" s="168">
        <v>0.6</v>
      </c>
      <c r="F394" s="164"/>
      <c r="G394" s="23"/>
    </row>
    <row r="395" spans="1:7" hidden="1">
      <c r="A395" s="52"/>
      <c r="B395" s="86"/>
      <c r="C395" s="144" t="s">
        <v>344</v>
      </c>
      <c r="D395" s="145"/>
      <c r="E395" s="147">
        <v>8766</v>
      </c>
      <c r="F395" s="351" t="s">
        <v>345</v>
      </c>
      <c r="G395" s="23"/>
    </row>
    <row r="396" spans="1:7" hidden="1">
      <c r="A396" s="52"/>
      <c r="B396" s="86"/>
      <c r="C396" s="149" t="s">
        <v>337</v>
      </c>
      <c r="D396" s="145"/>
      <c r="E396" s="76">
        <f>(E392*E394)/(E395*E393)</f>
        <v>0</v>
      </c>
      <c r="F396" s="77" t="s">
        <v>229</v>
      </c>
      <c r="G396" s="23"/>
    </row>
    <row r="397" spans="1:7" hidden="1">
      <c r="A397" s="52"/>
      <c r="B397" s="86"/>
      <c r="C397" s="149" t="s">
        <v>282</v>
      </c>
      <c r="D397" s="145"/>
      <c r="E397" s="76">
        <f>E396*E395/12</f>
        <v>0</v>
      </c>
      <c r="F397" s="77" t="s">
        <v>229</v>
      </c>
      <c r="G397" s="23"/>
    </row>
    <row r="398" spans="1:7" hidden="1">
      <c r="A398" s="52"/>
      <c r="B398" s="86"/>
      <c r="C398" s="149" t="s">
        <v>315</v>
      </c>
      <c r="D398" s="145"/>
      <c r="E398" s="76">
        <f>E397*E391</f>
        <v>0</v>
      </c>
      <c r="F398" s="77" t="s">
        <v>229</v>
      </c>
      <c r="G398" s="23"/>
    </row>
    <row r="399" spans="1:7">
      <c r="A399" s="52"/>
      <c r="B399" s="86"/>
      <c r="C399" s="19"/>
      <c r="D399" s="19"/>
      <c r="E399" s="19"/>
      <c r="F399" s="93"/>
      <c r="G399" s="23"/>
    </row>
    <row r="400" spans="1:7">
      <c r="A400" s="52"/>
      <c r="B400" s="86"/>
      <c r="C400" s="19"/>
      <c r="D400" s="84" t="s">
        <v>346</v>
      </c>
      <c r="E400" s="76">
        <f>E387+E398</f>
        <v>12460.590000000002</v>
      </c>
      <c r="F400" s="77" t="s">
        <v>229</v>
      </c>
      <c r="G400" s="23"/>
    </row>
    <row r="401" spans="1:7">
      <c r="A401" s="52"/>
      <c r="B401" s="86"/>
      <c r="C401" s="19"/>
      <c r="D401" s="344" t="s">
        <v>347</v>
      </c>
      <c r="E401" s="171">
        <f>E9*E400</f>
        <v>149527.08000000002</v>
      </c>
      <c r="F401" s="77" t="s">
        <v>229</v>
      </c>
      <c r="G401" s="23"/>
    </row>
    <row r="402" spans="1:7">
      <c r="A402" s="52"/>
      <c r="B402" s="86"/>
      <c r="C402" s="19"/>
      <c r="D402" s="19"/>
      <c r="E402" s="19"/>
      <c r="F402" s="93"/>
      <c r="G402" s="23"/>
    </row>
    <row r="403" spans="1:7" hidden="1">
      <c r="A403" s="52"/>
      <c r="B403" s="350" t="s">
        <v>533</v>
      </c>
      <c r="C403" s="19"/>
      <c r="D403" s="19"/>
      <c r="E403" s="19"/>
      <c r="F403" s="93"/>
      <c r="G403" s="23"/>
    </row>
    <row r="404" spans="1:7" hidden="1">
      <c r="A404" s="52"/>
      <c r="B404" s="86"/>
      <c r="C404" s="144" t="s">
        <v>325</v>
      </c>
      <c r="D404" s="145"/>
      <c r="E404" s="72">
        <f>E55</f>
        <v>0</v>
      </c>
      <c r="F404" s="77" t="s">
        <v>301</v>
      </c>
      <c r="G404" s="23"/>
    </row>
    <row r="405" spans="1:7" hidden="1">
      <c r="A405" s="52"/>
      <c r="B405" s="86"/>
      <c r="C405" s="144" t="s">
        <v>303</v>
      </c>
      <c r="D405" s="145"/>
      <c r="E405" s="168">
        <f>E330</f>
        <v>0</v>
      </c>
      <c r="F405" s="77" t="s">
        <v>229</v>
      </c>
      <c r="G405" s="23"/>
    </row>
    <row r="406" spans="1:7" hidden="1">
      <c r="A406" s="52"/>
      <c r="B406" s="86"/>
      <c r="C406" s="144" t="s">
        <v>304</v>
      </c>
      <c r="D406" s="145"/>
      <c r="E406" s="168">
        <f>E331</f>
        <v>0</v>
      </c>
      <c r="F406" s="351" t="s">
        <v>305</v>
      </c>
      <c r="G406" s="23"/>
    </row>
    <row r="407" spans="1:7" hidden="1">
      <c r="A407" s="52"/>
      <c r="B407" s="86"/>
      <c r="C407" s="144" t="s">
        <v>343</v>
      </c>
      <c r="D407" s="145"/>
      <c r="E407" s="168">
        <v>0.4</v>
      </c>
      <c r="F407" s="164"/>
      <c r="G407" s="23"/>
    </row>
    <row r="408" spans="1:7" hidden="1">
      <c r="A408" s="52"/>
      <c r="B408" s="86"/>
      <c r="C408" s="144" t="s">
        <v>344</v>
      </c>
      <c r="D408" s="145"/>
      <c r="E408" s="169">
        <v>2504.64</v>
      </c>
      <c r="F408" s="351" t="s">
        <v>345</v>
      </c>
      <c r="G408" s="23"/>
    </row>
    <row r="409" spans="1:7" hidden="1">
      <c r="A409" s="52"/>
      <c r="B409" s="86"/>
      <c r="C409" s="149" t="s">
        <v>337</v>
      </c>
      <c r="D409" s="145"/>
      <c r="E409" s="76" t="e">
        <f>(E405*E407)/(E408*E406)</f>
        <v>#DIV/0!</v>
      </c>
      <c r="F409" s="77" t="s">
        <v>229</v>
      </c>
      <c r="G409" s="23"/>
    </row>
    <row r="410" spans="1:7" hidden="1">
      <c r="A410" s="52"/>
      <c r="B410" s="86"/>
      <c r="C410" s="149" t="s">
        <v>282</v>
      </c>
      <c r="D410" s="145"/>
      <c r="E410" s="76" t="e">
        <f>E409*E408/12</f>
        <v>#DIV/0!</v>
      </c>
      <c r="F410" s="77" t="s">
        <v>229</v>
      </c>
      <c r="G410" s="23"/>
    </row>
    <row r="411" spans="1:7" hidden="1">
      <c r="A411" s="52"/>
      <c r="B411" s="86"/>
      <c r="C411" s="149" t="s">
        <v>338</v>
      </c>
      <c r="D411" s="145"/>
      <c r="E411" s="76" t="e">
        <f>E410*E404</f>
        <v>#DIV/0!</v>
      </c>
      <c r="F411" s="77" t="s">
        <v>229</v>
      </c>
      <c r="G411" s="23"/>
    </row>
    <row r="412" spans="1:7" hidden="1">
      <c r="A412" s="52"/>
      <c r="B412" s="86"/>
      <c r="C412" s="19"/>
      <c r="D412" s="19"/>
      <c r="E412" s="19"/>
      <c r="F412" s="93"/>
      <c r="G412" s="23"/>
    </row>
    <row r="413" spans="1:7" hidden="1">
      <c r="A413" s="52"/>
      <c r="B413" s="86"/>
      <c r="C413" s="19"/>
      <c r="D413" s="84" t="s">
        <v>534</v>
      </c>
      <c r="E413" s="76" t="e">
        <f>E411+#REF!</f>
        <v>#DIV/0!</v>
      </c>
      <c r="F413" s="77" t="s">
        <v>229</v>
      </c>
      <c r="G413" s="23"/>
    </row>
    <row r="414" spans="1:7" hidden="1">
      <c r="A414" s="52"/>
      <c r="B414" s="86"/>
      <c r="C414" s="19"/>
      <c r="D414" s="344" t="s">
        <v>535</v>
      </c>
      <c r="E414" s="171" t="e">
        <f>E34*E413</f>
        <v>#DIV/0!</v>
      </c>
      <c r="F414" s="77" t="s">
        <v>229</v>
      </c>
      <c r="G414" s="23"/>
    </row>
    <row r="415" spans="1:7" hidden="1">
      <c r="A415" s="52"/>
      <c r="B415" s="86"/>
      <c r="C415" s="19"/>
      <c r="D415" s="19"/>
      <c r="E415" s="19"/>
      <c r="F415" s="93"/>
      <c r="G415" s="23"/>
    </row>
    <row r="416" spans="1:7" hidden="1">
      <c r="A416" s="52"/>
      <c r="B416" s="86"/>
      <c r="C416" s="19"/>
      <c r="D416" s="84" t="s">
        <v>346</v>
      </c>
      <c r="E416" s="76" t="e">
        <f>E413+E400</f>
        <v>#DIV/0!</v>
      </c>
      <c r="F416" s="77" t="s">
        <v>229</v>
      </c>
      <c r="G416" s="23"/>
    </row>
    <row r="417" spans="1:7" hidden="1">
      <c r="A417" s="52"/>
      <c r="B417" s="86"/>
      <c r="C417" s="19"/>
      <c r="D417" s="344" t="s">
        <v>347</v>
      </c>
      <c r="E417" s="171" t="e">
        <f>E414+E401</f>
        <v>#DIV/0!</v>
      </c>
      <c r="F417" s="77" t="s">
        <v>229</v>
      </c>
      <c r="G417" s="23"/>
    </row>
    <row r="418" spans="1:7" hidden="1">
      <c r="A418" s="52"/>
      <c r="B418" s="86"/>
      <c r="C418" s="19"/>
      <c r="D418" s="19"/>
      <c r="E418" s="19"/>
      <c r="F418" s="93"/>
      <c r="G418" s="23"/>
    </row>
    <row r="419" spans="1:7">
      <c r="A419" s="52"/>
      <c r="B419" s="350" t="s">
        <v>348</v>
      </c>
      <c r="C419" s="19"/>
      <c r="D419" s="19"/>
      <c r="E419" s="19"/>
      <c r="F419" s="93"/>
      <c r="G419" s="23"/>
    </row>
    <row r="420" spans="1:7">
      <c r="A420" s="52"/>
      <c r="B420" s="165"/>
      <c r="C420" s="144" t="s">
        <v>325</v>
      </c>
      <c r="D420" s="145"/>
      <c r="E420" s="72">
        <f>E367</f>
        <v>1</v>
      </c>
      <c r="F420" s="77" t="s">
        <v>301</v>
      </c>
      <c r="G420" s="23"/>
    </row>
    <row r="421" spans="1:7">
      <c r="A421" s="52"/>
      <c r="B421" s="86"/>
      <c r="C421" s="149" t="s">
        <v>349</v>
      </c>
      <c r="D421" s="145"/>
      <c r="E421" s="72">
        <v>314.66666666666669</v>
      </c>
      <c r="F421" s="77" t="s">
        <v>229</v>
      </c>
      <c r="G421" s="23"/>
    </row>
    <row r="422" spans="1:7">
      <c r="A422" s="52"/>
      <c r="B422" s="86"/>
      <c r="C422" s="149" t="s">
        <v>350</v>
      </c>
      <c r="D422" s="145"/>
      <c r="E422" s="72">
        <v>230</v>
      </c>
      <c r="F422" s="77" t="s">
        <v>229</v>
      </c>
      <c r="G422" s="23"/>
    </row>
    <row r="423" spans="1:7">
      <c r="A423" s="52"/>
      <c r="B423" s="86"/>
      <c r="C423" s="149" t="s">
        <v>338</v>
      </c>
      <c r="D423" s="145"/>
      <c r="E423" s="76">
        <f>(E420*E422)+E421</f>
        <v>544.66666666666674</v>
      </c>
      <c r="F423" s="77" t="s">
        <v>229</v>
      </c>
      <c r="G423" s="23"/>
    </row>
    <row r="424" spans="1:7">
      <c r="A424" s="52"/>
      <c r="B424" s="86"/>
      <c r="C424" s="149"/>
      <c r="D424" s="145"/>
      <c r="E424" s="253"/>
      <c r="F424" s="77"/>
      <c r="G424" s="23"/>
    </row>
    <row r="425" spans="1:7">
      <c r="A425" s="52"/>
      <c r="B425" s="86"/>
      <c r="C425" s="149"/>
      <c r="D425" s="84" t="s">
        <v>351</v>
      </c>
      <c r="E425" s="76">
        <f>E423</f>
        <v>544.66666666666674</v>
      </c>
      <c r="F425" s="77" t="s">
        <v>229</v>
      </c>
      <c r="G425" s="23"/>
    </row>
    <row r="426" spans="1:7">
      <c r="A426" s="52"/>
      <c r="B426" s="86"/>
      <c r="C426" s="149"/>
      <c r="D426" s="344" t="s">
        <v>352</v>
      </c>
      <c r="E426" s="171">
        <f>E425*E9</f>
        <v>6536.0000000000009</v>
      </c>
      <c r="F426" s="77" t="s">
        <v>229</v>
      </c>
      <c r="G426" s="183"/>
    </row>
    <row r="427" spans="1:7">
      <c r="A427" s="52"/>
      <c r="B427" s="86"/>
      <c r="C427" s="149"/>
      <c r="D427" s="145"/>
      <c r="E427" s="19"/>
      <c r="F427" s="77"/>
      <c r="G427" s="23"/>
    </row>
    <row r="428" spans="1:7">
      <c r="A428" s="34"/>
      <c r="B428" s="86"/>
      <c r="C428" s="16" t="s">
        <v>353</v>
      </c>
      <c r="D428" s="74"/>
      <c r="E428" s="19"/>
      <c r="F428" s="93"/>
      <c r="G428" s="23"/>
    </row>
    <row r="429" spans="1:7">
      <c r="A429" s="52"/>
      <c r="B429" s="143"/>
      <c r="C429" s="17"/>
      <c r="D429" s="344" t="s">
        <v>354</v>
      </c>
      <c r="E429" s="172">
        <f>+E325+E360+E374+E400+E425</f>
        <v>31880.494026666671</v>
      </c>
      <c r="F429" s="77" t="s">
        <v>229</v>
      </c>
      <c r="G429" s="23"/>
    </row>
    <row r="430" spans="1:7" ht="12" thickBot="1">
      <c r="A430" s="52"/>
      <c r="B430" s="174"/>
      <c r="C430" s="25"/>
      <c r="D430" s="353" t="s">
        <v>355</v>
      </c>
      <c r="E430" s="172">
        <f>E9*E429</f>
        <v>382565.92832000006</v>
      </c>
      <c r="F430" s="175" t="s">
        <v>229</v>
      </c>
      <c r="G430" s="29"/>
    </row>
    <row r="431" spans="1:7">
      <c r="B431" s="3"/>
      <c r="D431" s="40"/>
      <c r="F431" s="100"/>
    </row>
    <row r="432" spans="1:7">
      <c r="A432" s="783" t="s">
        <v>356</v>
      </c>
      <c r="B432" s="772"/>
      <c r="C432" s="772"/>
      <c r="D432" s="772"/>
      <c r="E432" s="772"/>
      <c r="F432" s="772"/>
      <c r="G432" s="772"/>
    </row>
    <row r="433" spans="1:7" ht="12" thickBot="1"/>
    <row r="434" spans="1:7">
      <c r="A434" s="52"/>
      <c r="B434" s="349" t="s">
        <v>357</v>
      </c>
      <c r="C434" s="13"/>
      <c r="D434" s="13"/>
      <c r="E434" s="13"/>
      <c r="F434" s="140"/>
      <c r="G434" s="14"/>
    </row>
    <row r="435" spans="1:7">
      <c r="A435" s="52"/>
      <c r="B435" s="86"/>
      <c r="C435" s="19"/>
      <c r="D435" s="19"/>
      <c r="E435" s="19"/>
      <c r="F435" s="93"/>
      <c r="G435" s="23"/>
    </row>
    <row r="436" spans="1:7">
      <c r="A436" s="52"/>
      <c r="B436" s="86"/>
      <c r="C436" s="144" t="s">
        <v>325</v>
      </c>
      <c r="D436" s="145"/>
      <c r="E436" s="72">
        <f>E420</f>
        <v>1</v>
      </c>
      <c r="F436" s="93"/>
      <c r="G436" s="23"/>
    </row>
    <row r="437" spans="1:7">
      <c r="A437" s="52"/>
      <c r="B437" s="86"/>
      <c r="C437" s="354" t="s">
        <v>487</v>
      </c>
      <c r="D437" s="145"/>
      <c r="E437" s="176">
        <v>6.59</v>
      </c>
      <c r="F437" s="77" t="s">
        <v>359</v>
      </c>
      <c r="G437" s="23"/>
    </row>
    <row r="438" spans="1:7">
      <c r="A438" s="52"/>
      <c r="B438" s="86"/>
      <c r="C438" s="144" t="s">
        <v>360</v>
      </c>
      <c r="D438" s="145"/>
      <c r="E438" s="169">
        <f>E11</f>
        <v>1500</v>
      </c>
      <c r="F438" s="77" t="s">
        <v>361</v>
      </c>
      <c r="G438" s="23"/>
    </row>
    <row r="439" spans="1:7" ht="12.75" customHeight="1">
      <c r="A439" s="52"/>
      <c r="B439" s="86"/>
      <c r="C439" s="354" t="s">
        <v>362</v>
      </c>
      <c r="D439" s="145"/>
      <c r="E439" s="72">
        <v>1.8</v>
      </c>
      <c r="F439" s="77" t="s">
        <v>363</v>
      </c>
      <c r="G439" s="23"/>
    </row>
    <row r="440" spans="1:7" ht="12.75" customHeight="1">
      <c r="A440" s="52"/>
      <c r="B440" s="86"/>
      <c r="C440" s="149" t="s">
        <v>337</v>
      </c>
      <c r="D440" s="84"/>
      <c r="E440" s="172">
        <f>(E437*E438)/E439</f>
        <v>5491.666666666667</v>
      </c>
      <c r="F440" s="77" t="s">
        <v>229</v>
      </c>
      <c r="G440" s="23"/>
    </row>
    <row r="441" spans="1:7" ht="12.75" customHeight="1">
      <c r="A441" s="52"/>
      <c r="B441" s="86"/>
      <c r="C441" s="354" t="s">
        <v>364</v>
      </c>
      <c r="D441" s="84"/>
      <c r="E441" s="172">
        <f>E440</f>
        <v>5491.666666666667</v>
      </c>
      <c r="F441" s="77" t="s">
        <v>229</v>
      </c>
      <c r="G441" s="23"/>
    </row>
    <row r="442" spans="1:7" ht="12.75" customHeight="1">
      <c r="A442" s="52"/>
      <c r="B442" s="86"/>
      <c r="C442" s="19"/>
      <c r="D442" s="19"/>
      <c r="E442" s="19"/>
      <c r="F442" s="93"/>
      <c r="G442" s="23"/>
    </row>
    <row r="443" spans="1:7" ht="12.75" hidden="1" customHeight="1">
      <c r="A443" s="52"/>
      <c r="B443" s="86"/>
      <c r="C443" s="144" t="s">
        <v>325</v>
      </c>
      <c r="D443" s="145"/>
      <c r="E443" s="72">
        <v>0</v>
      </c>
      <c r="F443" s="93"/>
      <c r="G443" s="23"/>
    </row>
    <row r="444" spans="1:7" ht="12.75" hidden="1" customHeight="1">
      <c r="A444" s="52"/>
      <c r="B444" s="86"/>
      <c r="C444" s="354" t="s">
        <v>487</v>
      </c>
      <c r="D444" s="145"/>
      <c r="E444" s="176">
        <v>6.14</v>
      </c>
      <c r="F444" s="77" t="s">
        <v>359</v>
      </c>
      <c r="G444" s="23"/>
    </row>
    <row r="445" spans="1:7" ht="12.75" hidden="1" customHeight="1">
      <c r="A445" s="52"/>
      <c r="B445" s="86"/>
      <c r="C445" s="144" t="s">
        <v>360</v>
      </c>
      <c r="D445" s="145"/>
      <c r="E445" s="169">
        <f>E12</f>
        <v>0</v>
      </c>
      <c r="F445" s="77" t="s">
        <v>361</v>
      </c>
      <c r="G445" s="23"/>
    </row>
    <row r="446" spans="1:7" ht="12.75" hidden="1" customHeight="1">
      <c r="A446" s="52"/>
      <c r="B446" s="86"/>
      <c r="C446" s="354" t="s">
        <v>362</v>
      </c>
      <c r="D446" s="145"/>
      <c r="E446" s="72">
        <v>2.4</v>
      </c>
      <c r="F446" s="77" t="s">
        <v>363</v>
      </c>
      <c r="G446" s="23"/>
    </row>
    <row r="447" spans="1:7" ht="12.75" hidden="1" customHeight="1">
      <c r="A447" s="52"/>
      <c r="B447" s="86"/>
      <c r="C447" s="149" t="s">
        <v>337</v>
      </c>
      <c r="D447" s="84"/>
      <c r="E447" s="172">
        <f>(E444*E445)/E446</f>
        <v>0</v>
      </c>
      <c r="F447" s="77" t="s">
        <v>229</v>
      </c>
      <c r="G447" s="23"/>
    </row>
    <row r="448" spans="1:7" ht="12.75" hidden="1" customHeight="1">
      <c r="A448" s="52"/>
      <c r="B448" s="86"/>
      <c r="C448" s="354" t="s">
        <v>364</v>
      </c>
      <c r="D448" s="84"/>
      <c r="E448" s="172">
        <f>E443*E447</f>
        <v>0</v>
      </c>
      <c r="F448" s="77" t="s">
        <v>229</v>
      </c>
      <c r="G448" s="23"/>
    </row>
    <row r="449" spans="1:7" ht="12.75" hidden="1" customHeight="1">
      <c r="A449" s="52"/>
      <c r="B449" s="86"/>
      <c r="C449" s="19"/>
      <c r="D449" s="19"/>
      <c r="E449" s="19"/>
      <c r="F449" s="93"/>
      <c r="G449" s="23"/>
    </row>
    <row r="450" spans="1:7" ht="12.75" customHeight="1">
      <c r="A450" s="52"/>
      <c r="B450" s="86"/>
      <c r="C450" s="19"/>
      <c r="D450" s="84" t="s">
        <v>365</v>
      </c>
      <c r="E450" s="76">
        <f>E441+E448</f>
        <v>5491.666666666667</v>
      </c>
      <c r="F450" s="93"/>
      <c r="G450" s="23"/>
    </row>
    <row r="451" spans="1:7" ht="12.75" customHeight="1">
      <c r="A451" s="52"/>
      <c r="B451" s="86"/>
      <c r="C451" s="19"/>
      <c r="D451" s="344" t="s">
        <v>366</v>
      </c>
      <c r="E451" s="76">
        <f>E9*E450</f>
        <v>65900</v>
      </c>
      <c r="F451" s="93"/>
      <c r="G451" s="23"/>
    </row>
    <row r="452" spans="1:7" ht="12.75" customHeight="1">
      <c r="A452" s="52"/>
      <c r="B452" s="86"/>
      <c r="C452" s="19"/>
      <c r="D452" s="344"/>
      <c r="E452" s="344"/>
      <c r="F452" s="93"/>
      <c r="G452" s="23"/>
    </row>
    <row r="453" spans="1:7" ht="12.75" customHeight="1">
      <c r="A453" s="52"/>
      <c r="B453" s="86" t="s">
        <v>494</v>
      </c>
      <c r="C453" s="19"/>
      <c r="D453" s="344"/>
      <c r="E453" s="344"/>
      <c r="F453" s="93"/>
      <c r="G453" s="23"/>
    </row>
    <row r="454" spans="1:7" ht="12.75" customHeight="1">
      <c r="A454" s="52"/>
      <c r="B454" s="86"/>
      <c r="C454" s="144" t="s">
        <v>325</v>
      </c>
      <c r="D454" s="145"/>
      <c r="E454" s="72">
        <f>E436</f>
        <v>1</v>
      </c>
      <c r="F454" s="93"/>
      <c r="G454" s="23"/>
    </row>
    <row r="455" spans="1:7" ht="12.75" customHeight="1">
      <c r="A455" s="52"/>
      <c r="B455" s="86"/>
      <c r="C455" s="354" t="s">
        <v>495</v>
      </c>
      <c r="D455" s="145"/>
      <c r="E455" s="176">
        <v>17940</v>
      </c>
      <c r="F455" s="77" t="s">
        <v>229</v>
      </c>
      <c r="G455" s="23"/>
    </row>
    <row r="456" spans="1:7" ht="12.75" customHeight="1">
      <c r="A456" s="52"/>
      <c r="B456" s="86"/>
      <c r="C456" s="144" t="s">
        <v>360</v>
      </c>
      <c r="D456" s="145"/>
      <c r="E456" s="169">
        <f>E438+E445</f>
        <v>1500</v>
      </c>
      <c r="F456" s="77" t="s">
        <v>361</v>
      </c>
      <c r="G456" s="23"/>
    </row>
    <row r="457" spans="1:7" ht="12.75" customHeight="1">
      <c r="A457" s="52"/>
      <c r="B457" s="86"/>
      <c r="C457" s="354" t="s">
        <v>496</v>
      </c>
      <c r="D457" s="145"/>
      <c r="E457" s="72">
        <v>40000</v>
      </c>
      <c r="F457" s="77" t="s">
        <v>498</v>
      </c>
      <c r="G457" s="23"/>
    </row>
    <row r="458" spans="1:7" ht="12.75" customHeight="1">
      <c r="A458" s="52"/>
      <c r="B458" s="86"/>
      <c r="C458" s="149" t="s">
        <v>497</v>
      </c>
      <c r="D458" s="84"/>
      <c r="E458" s="172">
        <f>(E455*E456)/E457</f>
        <v>672.75</v>
      </c>
      <c r="F458" s="77" t="s">
        <v>229</v>
      </c>
      <c r="G458" s="23"/>
    </row>
    <row r="459" spans="1:7" ht="12.75" customHeight="1">
      <c r="A459" s="52"/>
      <c r="B459" s="86"/>
      <c r="C459" s="354" t="s">
        <v>364</v>
      </c>
      <c r="D459" s="84"/>
      <c r="E459" s="172">
        <f>E454*E458</f>
        <v>672.75</v>
      </c>
      <c r="F459" s="77" t="s">
        <v>229</v>
      </c>
      <c r="G459" s="23"/>
    </row>
    <row r="460" spans="1:7" ht="12.75" customHeight="1">
      <c r="A460" s="91"/>
      <c r="B460" s="86"/>
      <c r="C460" s="19"/>
      <c r="D460" s="19"/>
      <c r="E460" s="19"/>
      <c r="F460" s="93"/>
      <c r="G460" s="23"/>
    </row>
    <row r="461" spans="1:7" ht="12.75" customHeight="1">
      <c r="A461" s="91"/>
      <c r="B461" s="86"/>
      <c r="C461" s="19"/>
      <c r="D461" s="84" t="s">
        <v>393</v>
      </c>
      <c r="E461" s="76">
        <f>E459</f>
        <v>672.75</v>
      </c>
      <c r="F461" s="93"/>
      <c r="G461" s="23"/>
    </row>
    <row r="462" spans="1:7" ht="12.75" customHeight="1">
      <c r="A462" s="91"/>
      <c r="B462" s="86"/>
      <c r="C462" s="19"/>
      <c r="D462" s="344" t="s">
        <v>394</v>
      </c>
      <c r="E462" s="76">
        <f>E461*E9</f>
        <v>8073</v>
      </c>
      <c r="F462" s="93"/>
      <c r="G462" s="23"/>
    </row>
    <row r="463" spans="1:7" ht="12.75" customHeight="1">
      <c r="A463" s="91"/>
      <c r="B463" s="86"/>
      <c r="C463" s="19"/>
      <c r="D463" s="93"/>
      <c r="E463" s="238"/>
      <c r="F463" s="116"/>
      <c r="G463" s="23"/>
    </row>
    <row r="464" spans="1:7" ht="12.75" customHeight="1">
      <c r="A464" s="52"/>
      <c r="B464" s="350" t="s">
        <v>499</v>
      </c>
      <c r="C464" s="19"/>
      <c r="D464" s="19"/>
      <c r="E464" s="19"/>
      <c r="F464" s="93"/>
      <c r="G464" s="23"/>
    </row>
    <row r="465" spans="2:7" ht="12.75" customHeight="1">
      <c r="B465" s="784" t="s">
        <v>367</v>
      </c>
      <c r="C465" s="785"/>
      <c r="D465" s="786"/>
      <c r="E465" s="142">
        <v>0.1</v>
      </c>
      <c r="F465" s="93"/>
      <c r="G465" s="23"/>
    </row>
    <row r="466" spans="2:7" ht="12.75" customHeight="1">
      <c r="B466" s="153"/>
      <c r="C466" s="19"/>
      <c r="D466" s="19"/>
      <c r="E466" s="77"/>
      <c r="F466" s="93"/>
      <c r="G466" s="23"/>
    </row>
    <row r="467" spans="2:7" ht="12.75" customHeight="1">
      <c r="B467" s="153"/>
      <c r="C467" s="144" t="s">
        <v>325</v>
      </c>
      <c r="D467" s="79"/>
      <c r="E467" s="72">
        <v>1</v>
      </c>
      <c r="F467" s="77"/>
      <c r="G467" s="23"/>
    </row>
    <row r="468" spans="2:7" ht="12.75" customHeight="1">
      <c r="B468" s="153"/>
      <c r="C468" s="149" t="s">
        <v>337</v>
      </c>
      <c r="D468" s="79"/>
      <c r="E468" s="76">
        <f>E465*E400</f>
        <v>1246.0590000000002</v>
      </c>
      <c r="F468" s="77"/>
      <c r="G468" s="23"/>
    </row>
    <row r="469" spans="2:7" ht="12" customHeight="1">
      <c r="B469" s="153"/>
      <c r="C469" s="354" t="s">
        <v>364</v>
      </c>
      <c r="D469" s="79"/>
      <c r="E469" s="76">
        <f>E468*E467</f>
        <v>1246.0590000000002</v>
      </c>
      <c r="F469" s="77"/>
      <c r="G469" s="23"/>
    </row>
    <row r="470" spans="2:7">
      <c r="B470" s="153"/>
      <c r="C470" s="19"/>
      <c r="D470" s="19"/>
      <c r="E470" s="77"/>
      <c r="F470" s="93"/>
      <c r="G470" s="23"/>
    </row>
    <row r="471" spans="2:7">
      <c r="B471" s="153"/>
      <c r="C471" s="354" t="s">
        <v>368</v>
      </c>
      <c r="D471" s="79"/>
      <c r="E471" s="168">
        <v>20</v>
      </c>
      <c r="F471" s="77" t="s">
        <v>369</v>
      </c>
      <c r="G471" s="23"/>
    </row>
    <row r="472" spans="2:7">
      <c r="B472" s="153"/>
      <c r="C472" s="354" t="s">
        <v>370</v>
      </c>
      <c r="D472" s="79"/>
      <c r="E472" s="399">
        <v>17</v>
      </c>
      <c r="F472" s="77" t="s">
        <v>369</v>
      </c>
      <c r="G472" s="23"/>
    </row>
    <row r="473" spans="2:7">
      <c r="B473" s="153"/>
      <c r="C473" s="354" t="s">
        <v>371</v>
      </c>
      <c r="D473" s="79"/>
      <c r="E473" s="168">
        <v>14</v>
      </c>
      <c r="F473" s="77" t="s">
        <v>369</v>
      </c>
      <c r="G473" s="23"/>
    </row>
    <row r="474" spans="2:7">
      <c r="B474" s="153"/>
      <c r="C474" s="354" t="s">
        <v>372</v>
      </c>
      <c r="D474" s="79"/>
      <c r="E474" s="399">
        <v>3.3</v>
      </c>
      <c r="F474" s="77" t="s">
        <v>373</v>
      </c>
      <c r="G474" s="23"/>
    </row>
    <row r="475" spans="2:7">
      <c r="B475" s="153"/>
      <c r="C475" s="144" t="s">
        <v>374</v>
      </c>
      <c r="D475" s="79"/>
      <c r="E475" s="168">
        <v>10000</v>
      </c>
      <c r="F475" s="77" t="s">
        <v>361</v>
      </c>
      <c r="G475" s="23"/>
    </row>
    <row r="476" spans="2:7">
      <c r="B476" s="153"/>
      <c r="C476" s="354" t="s">
        <v>375</v>
      </c>
      <c r="D476" s="79"/>
      <c r="E476" s="177">
        <f>+E471/E475</f>
        <v>2E-3</v>
      </c>
      <c r="F476" s="77" t="s">
        <v>376</v>
      </c>
      <c r="G476" s="23"/>
    </row>
    <row r="477" spans="2:7">
      <c r="B477" s="153"/>
      <c r="C477" s="354" t="s">
        <v>377</v>
      </c>
      <c r="D477" s="79"/>
      <c r="E477" s="177">
        <f>+E472/E475</f>
        <v>1.6999999999999999E-3</v>
      </c>
      <c r="F477" s="77" t="s">
        <v>376</v>
      </c>
      <c r="G477" s="23"/>
    </row>
    <row r="478" spans="2:7">
      <c r="B478" s="153"/>
      <c r="C478" s="354" t="s">
        <v>378</v>
      </c>
      <c r="D478" s="79"/>
      <c r="E478" s="177">
        <f>+E473/E475</f>
        <v>1.4E-3</v>
      </c>
      <c r="F478" s="77" t="s">
        <v>376</v>
      </c>
      <c r="G478" s="23"/>
    </row>
    <row r="479" spans="2:7">
      <c r="B479" s="153"/>
      <c r="C479" s="354" t="s">
        <v>379</v>
      </c>
      <c r="D479" s="79"/>
      <c r="E479" s="177">
        <f>+E474/E475</f>
        <v>3.3E-4</v>
      </c>
      <c r="F479" s="351" t="s">
        <v>380</v>
      </c>
      <c r="G479" s="23"/>
    </row>
    <row r="480" spans="2:7">
      <c r="B480" s="153"/>
      <c r="C480" s="354" t="s">
        <v>381</v>
      </c>
      <c r="D480" s="178"/>
      <c r="E480" s="168">
        <v>21.41</v>
      </c>
      <c r="F480" s="77" t="s">
        <v>359</v>
      </c>
      <c r="G480" s="23"/>
    </row>
    <row r="481" spans="1:7">
      <c r="B481" s="153"/>
      <c r="C481" s="354" t="s">
        <v>382</v>
      </c>
      <c r="D481" s="178"/>
      <c r="E481" s="168">
        <v>19.399999999999999</v>
      </c>
      <c r="F481" s="77" t="s">
        <v>359</v>
      </c>
      <c r="G481" s="23"/>
    </row>
    <row r="482" spans="1:7">
      <c r="B482" s="153"/>
      <c r="C482" s="354" t="s">
        <v>383</v>
      </c>
      <c r="D482" s="178"/>
      <c r="E482" s="168">
        <v>17.91</v>
      </c>
      <c r="F482" s="77" t="s">
        <v>359</v>
      </c>
      <c r="G482" s="23"/>
    </row>
    <row r="483" spans="1:7">
      <c r="B483" s="153"/>
      <c r="C483" s="354" t="s">
        <v>384</v>
      </c>
      <c r="D483" s="178"/>
      <c r="E483" s="168">
        <v>25.8</v>
      </c>
      <c r="F483" s="77" t="s">
        <v>385</v>
      </c>
      <c r="G483" s="23"/>
    </row>
    <row r="484" spans="1:7">
      <c r="B484" s="153"/>
      <c r="C484" s="354" t="s">
        <v>386</v>
      </c>
      <c r="D484" s="79"/>
      <c r="E484" s="163">
        <f>+(E476*E480)+(E477*E481)+(E478*E482)+(E479*E483)</f>
        <v>0.10938800000000001</v>
      </c>
      <c r="F484" s="351" t="s">
        <v>387</v>
      </c>
      <c r="G484" s="23"/>
    </row>
    <row r="485" spans="1:7">
      <c r="A485" s="52"/>
      <c r="B485" s="143"/>
      <c r="C485" s="144" t="s">
        <v>360</v>
      </c>
      <c r="D485" s="22"/>
      <c r="E485" s="169">
        <f>E456</f>
        <v>1500</v>
      </c>
      <c r="F485" s="77" t="s">
        <v>361</v>
      </c>
      <c r="G485" s="23"/>
    </row>
    <row r="486" spans="1:7">
      <c r="A486" s="52"/>
      <c r="B486" s="143"/>
      <c r="C486" s="354" t="s">
        <v>388</v>
      </c>
      <c r="D486" s="79"/>
      <c r="E486" s="172">
        <f>ROUND(+E484*E485,2)</f>
        <v>164.08</v>
      </c>
      <c r="F486" s="77" t="s">
        <v>229</v>
      </c>
      <c r="G486" s="23"/>
    </row>
    <row r="487" spans="1:7">
      <c r="A487" s="52"/>
      <c r="B487" s="143"/>
      <c r="C487" s="354" t="s">
        <v>389</v>
      </c>
      <c r="D487" s="22"/>
      <c r="E487" s="168">
        <v>10</v>
      </c>
      <c r="F487" s="77" t="s">
        <v>390</v>
      </c>
      <c r="G487" s="23"/>
    </row>
    <row r="488" spans="1:7">
      <c r="A488" s="52"/>
      <c r="B488" s="143"/>
      <c r="C488" s="144" t="s">
        <v>391</v>
      </c>
      <c r="D488" s="22"/>
      <c r="E488" s="172">
        <f>ROUND(+E486*E487/100,2)</f>
        <v>16.41</v>
      </c>
      <c r="F488" s="77" t="s">
        <v>229</v>
      </c>
      <c r="G488" s="23"/>
    </row>
    <row r="489" spans="1:7">
      <c r="A489" s="52"/>
      <c r="B489" s="143"/>
      <c r="C489" s="144" t="s">
        <v>392</v>
      </c>
      <c r="D489" s="22"/>
      <c r="E489" s="172">
        <f>E486+E488</f>
        <v>180.49</v>
      </c>
      <c r="F489" s="77"/>
      <c r="G489" s="23"/>
    </row>
    <row r="490" spans="1:7">
      <c r="A490" s="52"/>
      <c r="B490" s="143"/>
      <c r="C490" s="354" t="s">
        <v>364</v>
      </c>
      <c r="D490" s="22"/>
      <c r="E490" s="76">
        <f>E489*E467</f>
        <v>180.49</v>
      </c>
      <c r="F490" s="77"/>
      <c r="G490" s="23"/>
    </row>
    <row r="491" spans="1:7">
      <c r="A491" s="52"/>
      <c r="B491" s="143"/>
      <c r="C491" s="144"/>
      <c r="D491" s="22"/>
      <c r="E491" s="22"/>
      <c r="F491" s="77"/>
      <c r="G491" s="23"/>
    </row>
    <row r="492" spans="1:7">
      <c r="A492" s="52"/>
      <c r="B492" s="143"/>
      <c r="C492" s="19"/>
      <c r="D492" s="84" t="s">
        <v>500</v>
      </c>
      <c r="E492" s="76">
        <f>E468+E490</f>
        <v>1426.5490000000002</v>
      </c>
      <c r="F492" s="77" t="s">
        <v>229</v>
      </c>
      <c r="G492" s="23"/>
    </row>
    <row r="493" spans="1:7">
      <c r="A493" s="52"/>
      <c r="B493" s="143"/>
      <c r="C493" s="19"/>
      <c r="D493" s="344" t="s">
        <v>501</v>
      </c>
      <c r="E493" s="76">
        <f>E9*E492</f>
        <v>17118.588000000003</v>
      </c>
      <c r="F493" s="77" t="s">
        <v>229</v>
      </c>
      <c r="G493" s="23"/>
    </row>
    <row r="494" spans="1:7">
      <c r="A494" s="52"/>
      <c r="B494" s="143"/>
      <c r="C494" s="19"/>
      <c r="D494" s="19"/>
      <c r="E494" s="19"/>
      <c r="F494" s="93"/>
      <c r="G494" s="23"/>
    </row>
    <row r="495" spans="1:7">
      <c r="A495" s="3"/>
      <c r="B495" s="153"/>
      <c r="C495" s="16" t="s">
        <v>395</v>
      </c>
      <c r="D495" s="239"/>
      <c r="E495" s="74"/>
      <c r="F495" s="77"/>
      <c r="G495" s="23"/>
    </row>
    <row r="496" spans="1:7">
      <c r="A496" s="3"/>
      <c r="B496" s="153"/>
      <c r="C496" s="179"/>
      <c r="D496" s="344" t="s">
        <v>486</v>
      </c>
      <c r="E496" s="172">
        <f>E450+E492+E461</f>
        <v>7590.9656666666669</v>
      </c>
      <c r="F496" s="77" t="s">
        <v>229</v>
      </c>
      <c r="G496" s="23"/>
    </row>
    <row r="497" spans="1:7">
      <c r="B497" s="86"/>
      <c r="C497" s="180"/>
      <c r="D497" s="344" t="s">
        <v>355</v>
      </c>
      <c r="E497" s="172">
        <f>E9*E496</f>
        <v>91091.588000000003</v>
      </c>
      <c r="F497" s="77" t="s">
        <v>229</v>
      </c>
      <c r="G497" s="23"/>
    </row>
    <row r="498" spans="1:7" ht="12" thickBot="1">
      <c r="A498" s="52"/>
      <c r="B498" s="125"/>
      <c r="C498" s="48"/>
      <c r="D498" s="48"/>
      <c r="E498" s="126"/>
      <c r="F498" s="127"/>
      <c r="G498" s="29"/>
    </row>
    <row r="499" spans="1:7" ht="12" thickBot="1">
      <c r="A499" s="52"/>
      <c r="B499" s="78"/>
      <c r="C499" s="19"/>
      <c r="D499" s="19"/>
      <c r="E499" s="93"/>
      <c r="F499" s="80"/>
      <c r="G499" s="23"/>
    </row>
    <row r="500" spans="1:7">
      <c r="A500" s="52"/>
      <c r="B500" s="78"/>
      <c r="C500" s="128"/>
      <c r="D500" s="129"/>
      <c r="E500" s="129"/>
      <c r="F500" s="130"/>
      <c r="G500" s="23"/>
    </row>
    <row r="501" spans="1:7">
      <c r="A501" s="52"/>
      <c r="B501" s="78"/>
      <c r="C501" s="347" t="s">
        <v>294</v>
      </c>
      <c r="D501" s="132"/>
      <c r="E501" s="76">
        <f>E429+E496</f>
        <v>39471.459693333338</v>
      </c>
      <c r="F501" s="133" t="s">
        <v>229</v>
      </c>
      <c r="G501" s="23"/>
    </row>
    <row r="502" spans="1:7">
      <c r="A502" s="52"/>
      <c r="B502" s="78"/>
      <c r="C502" s="134" t="s">
        <v>397</v>
      </c>
      <c r="D502" s="132"/>
      <c r="E502" s="132"/>
      <c r="F502" s="135"/>
      <c r="G502" s="23"/>
    </row>
    <row r="503" spans="1:7">
      <c r="A503" s="52"/>
      <c r="B503" s="78"/>
      <c r="C503" s="347" t="s">
        <v>296</v>
      </c>
      <c r="D503" s="132"/>
      <c r="E503" s="76">
        <f>E501*E9</f>
        <v>473657.51632000005</v>
      </c>
      <c r="F503" s="133" t="s">
        <v>229</v>
      </c>
      <c r="G503" s="23"/>
    </row>
    <row r="504" spans="1:7" ht="12" thickBot="1">
      <c r="A504" s="52"/>
      <c r="B504" s="78"/>
      <c r="C504" s="136" t="s">
        <v>397</v>
      </c>
      <c r="D504" s="137"/>
      <c r="E504" s="137"/>
      <c r="F504" s="138"/>
      <c r="G504" s="23"/>
    </row>
    <row r="505" spans="1:7" ht="12" thickBot="1">
      <c r="A505" s="52"/>
      <c r="B505" s="125"/>
      <c r="C505" s="48"/>
      <c r="D505" s="48"/>
      <c r="E505" s="126"/>
      <c r="F505" s="127"/>
      <c r="G505" s="29"/>
    </row>
    <row r="506" spans="1:7" ht="12" thickBot="1">
      <c r="A506" s="52"/>
      <c r="B506" s="78"/>
      <c r="C506" s="19"/>
      <c r="D506" s="19"/>
      <c r="E506" s="93"/>
      <c r="F506" s="80"/>
      <c r="G506" s="23"/>
    </row>
    <row r="507" spans="1:7">
      <c r="A507" s="52"/>
      <c r="B507" s="78"/>
      <c r="C507" s="128"/>
      <c r="D507" s="129"/>
      <c r="E507" s="129"/>
      <c r="F507" s="130"/>
      <c r="G507" s="23"/>
    </row>
    <row r="508" spans="1:7">
      <c r="A508" s="52"/>
      <c r="B508" s="86"/>
      <c r="C508" s="347" t="s">
        <v>545</v>
      </c>
      <c r="D508" s="132"/>
      <c r="E508" s="76">
        <f>E231+E286+E501</f>
        <v>39510.53969333334</v>
      </c>
      <c r="F508" s="133" t="s">
        <v>229</v>
      </c>
      <c r="G508" s="112"/>
    </row>
    <row r="509" spans="1:7">
      <c r="B509" s="86"/>
      <c r="C509" s="134" t="s">
        <v>573</v>
      </c>
      <c r="D509" s="132"/>
      <c r="E509" s="132"/>
      <c r="F509" s="135"/>
      <c r="G509" s="23"/>
    </row>
    <row r="510" spans="1:7">
      <c r="A510" s="52"/>
      <c r="B510" s="86"/>
      <c r="C510" s="131" t="s">
        <v>442</v>
      </c>
      <c r="D510" s="132"/>
      <c r="E510" s="76">
        <f>E508*E9</f>
        <v>474126.47632000007</v>
      </c>
      <c r="F510" s="133" t="s">
        <v>229</v>
      </c>
      <c r="G510" s="23"/>
    </row>
    <row r="511" spans="1:7" ht="12" thickBot="1">
      <c r="A511" s="52"/>
      <c r="B511" s="86"/>
      <c r="C511" s="136" t="s">
        <v>574</v>
      </c>
      <c r="D511" s="137"/>
      <c r="E511" s="137"/>
      <c r="F511" s="138"/>
      <c r="G511" s="23"/>
    </row>
    <row r="512" spans="1:7" ht="12" thickBot="1">
      <c r="A512" s="52"/>
      <c r="B512" s="139"/>
      <c r="C512" s="48"/>
      <c r="D512" s="48"/>
      <c r="E512" s="48"/>
      <c r="F512" s="127"/>
      <c r="G512" s="29"/>
    </row>
    <row r="513" spans="1:7" hidden="1">
      <c r="A513" s="52"/>
      <c r="B513" s="52"/>
      <c r="C513" s="3"/>
      <c r="E513" s="181"/>
      <c r="F513" s="115"/>
    </row>
    <row r="514" spans="1:7" ht="13.8" hidden="1">
      <c r="A514" s="757" t="s">
        <v>402</v>
      </c>
      <c r="B514" s="758"/>
      <c r="C514" s="758"/>
      <c r="D514" s="758"/>
      <c r="E514" s="758"/>
      <c r="F514" s="758"/>
      <c r="G514" s="758"/>
    </row>
    <row r="515" spans="1:7" hidden="1">
      <c r="A515" s="34"/>
    </row>
    <row r="516" spans="1:7" hidden="1">
      <c r="A516" s="34"/>
      <c r="B516" s="182"/>
      <c r="C516" s="13"/>
      <c r="D516" s="13"/>
      <c r="E516" s="13"/>
      <c r="F516" s="13"/>
      <c r="G516" s="14"/>
    </row>
    <row r="517" spans="1:7" hidden="1">
      <c r="A517" s="34"/>
      <c r="B517" s="78"/>
      <c r="C517" s="19"/>
      <c r="D517" s="82" t="s">
        <v>223</v>
      </c>
      <c r="E517" s="82" t="s">
        <v>403</v>
      </c>
      <c r="F517" s="82" t="s">
        <v>277</v>
      </c>
      <c r="G517" s="23"/>
    </row>
    <row r="518" spans="1:7" hidden="1">
      <c r="B518" s="78"/>
      <c r="C518" s="79"/>
      <c r="D518" s="108">
        <v>0</v>
      </c>
      <c r="E518" s="71">
        <v>0</v>
      </c>
      <c r="F518" s="71">
        <f>+E518*D518</f>
        <v>0</v>
      </c>
      <c r="G518" s="183"/>
    </row>
    <row r="519" spans="1:7" hidden="1">
      <c r="B519" s="78"/>
      <c r="C519" s="79"/>
      <c r="D519" s="108">
        <v>0</v>
      </c>
      <c r="E519" s="71">
        <v>0</v>
      </c>
      <c r="F519" s="71">
        <f>D519*E519</f>
        <v>0</v>
      </c>
      <c r="G519" s="23"/>
    </row>
    <row r="520" spans="1:7" hidden="1">
      <c r="B520" s="78"/>
      <c r="C520" s="84" t="s">
        <v>404</v>
      </c>
      <c r="D520" s="184">
        <f>SUM(D518:D519)</f>
        <v>0</v>
      </c>
      <c r="E520" s="185"/>
      <c r="F520" s="76">
        <f>SUM(F518:F519)</f>
        <v>0</v>
      </c>
      <c r="G520" s="112" t="s">
        <v>229</v>
      </c>
    </row>
    <row r="521" spans="1:7" hidden="1">
      <c r="B521" s="78"/>
      <c r="C521" s="355" t="s">
        <v>405</v>
      </c>
      <c r="D521" s="186">
        <f>'DADOS DE ENTRADA'!B35</f>
        <v>0.80840000000000001</v>
      </c>
      <c r="E521" s="71">
        <f>F520</f>
        <v>0</v>
      </c>
      <c r="F521" s="71">
        <f>ROUND(D521*E521,2)</f>
        <v>0</v>
      </c>
      <c r="G521" s="23"/>
    </row>
    <row r="522" spans="1:7" hidden="1">
      <c r="B522" s="78"/>
      <c r="C522" s="19"/>
      <c r="D522" s="84"/>
      <c r="E522" s="344" t="s">
        <v>406</v>
      </c>
      <c r="F522" s="76">
        <f>+F521+F520</f>
        <v>0</v>
      </c>
      <c r="G522" s="112" t="s">
        <v>229</v>
      </c>
    </row>
    <row r="523" spans="1:7" hidden="1">
      <c r="B523" s="78"/>
      <c r="C523" s="19"/>
      <c r="D523" s="19"/>
      <c r="E523" s="93"/>
      <c r="F523" s="80"/>
      <c r="G523" s="23"/>
    </row>
    <row r="524" spans="1:7" hidden="1">
      <c r="B524" s="86"/>
      <c r="C524" s="128"/>
      <c r="D524" s="129"/>
      <c r="E524" s="129"/>
      <c r="F524" s="130"/>
      <c r="G524" s="112"/>
    </row>
    <row r="525" spans="1:7" hidden="1">
      <c r="A525" s="52"/>
      <c r="B525" s="86"/>
      <c r="C525" s="347" t="s">
        <v>407</v>
      </c>
      <c r="D525" s="132"/>
      <c r="E525" s="76">
        <f>F522</f>
        <v>0</v>
      </c>
      <c r="F525" s="133" t="s">
        <v>229</v>
      </c>
      <c r="G525" s="23"/>
    </row>
    <row r="526" spans="1:7" hidden="1">
      <c r="A526" s="3"/>
      <c r="B526" s="86"/>
      <c r="C526" s="134" t="s">
        <v>408</v>
      </c>
      <c r="D526" s="132"/>
      <c r="E526" s="132"/>
      <c r="F526" s="135"/>
      <c r="G526" s="23"/>
    </row>
    <row r="527" spans="1:7" hidden="1">
      <c r="A527" s="52"/>
      <c r="B527" s="86"/>
      <c r="C527" s="347" t="s">
        <v>409</v>
      </c>
      <c r="D527" s="132"/>
      <c r="E527" s="76">
        <f>+E525*E9</f>
        <v>0</v>
      </c>
      <c r="F527" s="133" t="s">
        <v>229</v>
      </c>
      <c r="G527" s="23"/>
    </row>
    <row r="528" spans="1:7" ht="12" hidden="1" thickBot="1">
      <c r="A528" s="52"/>
      <c r="B528" s="86"/>
      <c r="C528" s="136" t="s">
        <v>408</v>
      </c>
      <c r="D528" s="137"/>
      <c r="E528" s="137"/>
      <c r="F528" s="138"/>
      <c r="G528" s="112"/>
    </row>
    <row r="529" spans="1:7" ht="12" hidden="1" thickBot="1">
      <c r="A529" s="3"/>
      <c r="B529" s="139"/>
      <c r="C529" s="48"/>
      <c r="D529" s="48"/>
      <c r="E529" s="48"/>
      <c r="F529" s="127"/>
      <c r="G529" s="29"/>
    </row>
    <row r="530" spans="1:7" hidden="1">
      <c r="B530" s="3"/>
      <c r="F530" s="100"/>
    </row>
    <row r="531" spans="1:7" ht="13.8" hidden="1">
      <c r="A531" s="757" t="s">
        <v>410</v>
      </c>
      <c r="B531" s="758"/>
      <c r="C531" s="758"/>
      <c r="D531" s="758"/>
      <c r="E531" s="758"/>
      <c r="F531" s="758"/>
      <c r="G531" s="758"/>
    </row>
    <row r="532" spans="1:7" ht="13.8" hidden="1">
      <c r="A532" s="187"/>
      <c r="B532" s="187"/>
      <c r="C532" s="187"/>
      <c r="D532" s="187"/>
      <c r="E532" s="187"/>
      <c r="F532" s="187"/>
      <c r="G532" s="187"/>
    </row>
    <row r="533" spans="1:7" hidden="1">
      <c r="A533" s="199"/>
      <c r="B533" s="188"/>
      <c r="C533" s="33" t="s">
        <v>166</v>
      </c>
      <c r="D533" s="189"/>
      <c r="E533" s="190"/>
      <c r="F533" s="33" t="s">
        <v>166</v>
      </c>
      <c r="G533" s="14"/>
    </row>
    <row r="534" spans="1:7" hidden="1">
      <c r="A534" s="199"/>
      <c r="B534" s="146" t="s">
        <v>411</v>
      </c>
      <c r="C534" s="191">
        <v>0</v>
      </c>
      <c r="D534" s="77"/>
      <c r="E534" s="192" t="s">
        <v>411</v>
      </c>
      <c r="F534" s="191">
        <v>0</v>
      </c>
      <c r="G534" s="23"/>
    </row>
    <row r="535" spans="1:7" hidden="1">
      <c r="A535" s="199"/>
      <c r="B535" s="146" t="s">
        <v>412</v>
      </c>
      <c r="C535" s="193">
        <v>0</v>
      </c>
      <c r="D535" s="77" t="s">
        <v>229</v>
      </c>
      <c r="E535" s="192" t="s">
        <v>412</v>
      </c>
      <c r="F535" s="193">
        <v>0</v>
      </c>
      <c r="G535" s="194"/>
    </row>
    <row r="536" spans="1:7" hidden="1">
      <c r="A536" s="199"/>
      <c r="B536" s="146" t="s">
        <v>413</v>
      </c>
      <c r="C536" s="195"/>
      <c r="D536" s="77" t="s">
        <v>414</v>
      </c>
      <c r="E536" s="192" t="s">
        <v>413</v>
      </c>
      <c r="F536" s="195"/>
      <c r="G536" s="23"/>
    </row>
    <row r="537" spans="1:7" hidden="1">
      <c r="B537" s="146" t="s">
        <v>415</v>
      </c>
      <c r="C537" s="196"/>
      <c r="D537" s="77" t="s">
        <v>390</v>
      </c>
      <c r="E537" s="192" t="s">
        <v>415</v>
      </c>
      <c r="F537" s="196"/>
      <c r="G537" s="23"/>
    </row>
    <row r="538" spans="1:7" hidden="1">
      <c r="A538" s="91"/>
      <c r="B538" s="146" t="s">
        <v>416</v>
      </c>
      <c r="C538" s="196"/>
      <c r="D538" s="77" t="s">
        <v>390</v>
      </c>
      <c r="E538" s="192" t="s">
        <v>416</v>
      </c>
      <c r="F538" s="196"/>
      <c r="G538" s="23"/>
    </row>
    <row r="539" spans="1:7" hidden="1">
      <c r="B539" s="146" t="s">
        <v>417</v>
      </c>
      <c r="C539" s="196"/>
      <c r="D539" s="77" t="s">
        <v>418</v>
      </c>
      <c r="E539" s="192" t="s">
        <v>417</v>
      </c>
      <c r="F539" s="196"/>
      <c r="G539" s="23"/>
    </row>
    <row r="540" spans="1:7" hidden="1">
      <c r="B540" s="146" t="s">
        <v>419</v>
      </c>
      <c r="C540" s="196"/>
      <c r="D540" s="77" t="s">
        <v>390</v>
      </c>
      <c r="E540" s="192" t="s">
        <v>419</v>
      </c>
      <c r="F540" s="196"/>
      <c r="G540" s="23"/>
    </row>
    <row r="541" spans="1:7" hidden="1">
      <c r="B541" s="146" t="s">
        <v>420</v>
      </c>
      <c r="C541" s="163"/>
      <c r="D541" s="77" t="s">
        <v>387</v>
      </c>
      <c r="E541" s="192" t="s">
        <v>420</v>
      </c>
      <c r="F541" s="163"/>
      <c r="G541" s="23"/>
    </row>
    <row r="542" spans="1:7" hidden="1">
      <c r="B542" s="146" t="s">
        <v>421</v>
      </c>
      <c r="C542" s="191">
        <v>0</v>
      </c>
      <c r="D542" s="77" t="s">
        <v>361</v>
      </c>
      <c r="E542" s="192" t="s">
        <v>421</v>
      </c>
      <c r="F542" s="191">
        <v>0</v>
      </c>
      <c r="G542" s="23"/>
    </row>
    <row r="543" spans="1:7" hidden="1">
      <c r="B543" s="146" t="s">
        <v>422</v>
      </c>
      <c r="C543" s="168">
        <v>0</v>
      </c>
      <c r="D543" s="77" t="s">
        <v>369</v>
      </c>
      <c r="E543" s="192" t="s">
        <v>422</v>
      </c>
      <c r="F543" s="168">
        <v>0</v>
      </c>
      <c r="G543" s="23"/>
    </row>
    <row r="544" spans="1:7" hidden="1">
      <c r="B544" s="146" t="s">
        <v>423</v>
      </c>
      <c r="C544" s="193">
        <v>4</v>
      </c>
      <c r="D544" s="77" t="s">
        <v>359</v>
      </c>
      <c r="E544" s="192" t="s">
        <v>423</v>
      </c>
      <c r="F544" s="193">
        <f>'DADOS DE ENTRADA'!H27</f>
        <v>7.33</v>
      </c>
      <c r="G544" s="23"/>
    </row>
    <row r="545" spans="1:7" hidden="1">
      <c r="B545" s="146" t="s">
        <v>424</v>
      </c>
      <c r="C545" s="168"/>
      <c r="D545" s="77" t="s">
        <v>361</v>
      </c>
      <c r="E545" s="192" t="s">
        <v>424</v>
      </c>
      <c r="F545" s="168"/>
      <c r="G545" s="23"/>
    </row>
    <row r="546" spans="1:7" hidden="1">
      <c r="A546" s="241"/>
      <c r="B546" s="146" t="s">
        <v>425</v>
      </c>
      <c r="C546" s="196"/>
      <c r="D546" s="77" t="s">
        <v>229</v>
      </c>
      <c r="E546" s="192" t="s">
        <v>425</v>
      </c>
      <c r="F546" s="196"/>
      <c r="G546" s="23"/>
    </row>
    <row r="547" spans="1:7" hidden="1">
      <c r="B547" s="146" t="s">
        <v>426</v>
      </c>
      <c r="C547" s="168"/>
      <c r="D547" s="77" t="s">
        <v>229</v>
      </c>
      <c r="E547" s="192" t="s">
        <v>426</v>
      </c>
      <c r="F547" s="168"/>
      <c r="G547" s="23"/>
    </row>
    <row r="548" spans="1:7" hidden="1">
      <c r="B548" s="146" t="s">
        <v>427</v>
      </c>
      <c r="C548" s="168"/>
      <c r="D548" s="77" t="s">
        <v>229</v>
      </c>
      <c r="E548" s="192" t="s">
        <v>427</v>
      </c>
      <c r="F548" s="168"/>
      <c r="G548" s="23"/>
    </row>
    <row r="549" spans="1:7" hidden="1">
      <c r="B549" s="141" t="s">
        <v>428</v>
      </c>
      <c r="C549" s="168">
        <f>+(C534*C535)*(C539/100)/12</f>
        <v>0</v>
      </c>
      <c r="D549" s="77" t="s">
        <v>229</v>
      </c>
      <c r="E549" s="192" t="s">
        <v>429</v>
      </c>
      <c r="F549" s="168">
        <f>+(F534*F535)*(F539/100)/12</f>
        <v>0</v>
      </c>
      <c r="G549" s="23"/>
    </row>
    <row r="550" spans="1:7" hidden="1">
      <c r="B550" s="146" t="s">
        <v>430</v>
      </c>
      <c r="C550" s="168">
        <f>ROUND(+(C534*C535)*(C540/100)/12,2)</f>
        <v>0</v>
      </c>
      <c r="D550" s="77" t="s">
        <v>229</v>
      </c>
      <c r="E550" s="192" t="s">
        <v>431</v>
      </c>
      <c r="F550" s="168">
        <f>ROUND(+(F534*F535)*(F540/100)/12,2)</f>
        <v>0</v>
      </c>
      <c r="G550" s="23"/>
    </row>
    <row r="551" spans="1:7" hidden="1">
      <c r="A551" s="241"/>
      <c r="B551" s="197" t="s">
        <v>432</v>
      </c>
      <c r="C551" s="150">
        <f>C535</f>
        <v>0</v>
      </c>
      <c r="D551" s="77" t="s">
        <v>229</v>
      </c>
      <c r="E551" s="198" t="s">
        <v>432</v>
      </c>
      <c r="F551" s="150">
        <f>F535</f>
        <v>0</v>
      </c>
      <c r="G551" s="23"/>
    </row>
    <row r="552" spans="1:7" hidden="1">
      <c r="B552" s="146" t="s">
        <v>433</v>
      </c>
      <c r="C552" s="168">
        <v>0</v>
      </c>
      <c r="D552" s="77" t="s">
        <v>229</v>
      </c>
      <c r="E552" s="192" t="s">
        <v>433</v>
      </c>
      <c r="F552" s="168">
        <f>F543*F544</f>
        <v>0</v>
      </c>
      <c r="G552" s="23"/>
    </row>
    <row r="553" spans="1:7" hidden="1">
      <c r="B553" s="146" t="s">
        <v>434</v>
      </c>
      <c r="C553" s="168">
        <v>0</v>
      </c>
      <c r="D553" s="77" t="s">
        <v>229</v>
      </c>
      <c r="E553" s="192" t="s">
        <v>434</v>
      </c>
      <c r="F553" s="168">
        <f>ROUND(+F541*F542,2)</f>
        <v>0</v>
      </c>
      <c r="G553" s="23"/>
    </row>
    <row r="554" spans="1:7" hidden="1">
      <c r="B554" s="146" t="s">
        <v>435</v>
      </c>
      <c r="C554" s="168">
        <v>0</v>
      </c>
      <c r="D554" s="77" t="s">
        <v>229</v>
      </c>
      <c r="E554" s="192" t="s">
        <v>435</v>
      </c>
      <c r="F554" s="168"/>
      <c r="G554" s="23"/>
    </row>
    <row r="555" spans="1:7" hidden="1">
      <c r="A555" s="199"/>
      <c r="B555" s="197" t="s">
        <v>436</v>
      </c>
      <c r="C555" s="168">
        <v>0</v>
      </c>
      <c r="D555" s="77" t="s">
        <v>229</v>
      </c>
      <c r="E555" s="198" t="s">
        <v>436</v>
      </c>
      <c r="F555" s="150">
        <f>SUM(F552:F554)</f>
        <v>0</v>
      </c>
      <c r="G555" s="23"/>
    </row>
    <row r="556" spans="1:7" hidden="1">
      <c r="A556" s="199"/>
      <c r="B556" s="350" t="s">
        <v>437</v>
      </c>
      <c r="C556" s="76">
        <f>(+C551+C555)*C534</f>
        <v>0</v>
      </c>
      <c r="D556" s="77" t="s">
        <v>229</v>
      </c>
      <c r="E556" s="77"/>
      <c r="F556" s="76">
        <f>(+F551+F555)*F534</f>
        <v>0</v>
      </c>
      <c r="G556" s="23" t="str">
        <f>D556</f>
        <v>(R$)</v>
      </c>
    </row>
    <row r="557" spans="1:7" hidden="1">
      <c r="A557" s="199"/>
      <c r="B557" s="143"/>
      <c r="C557" s="84"/>
      <c r="D557" s="93"/>
      <c r="E557" s="145"/>
      <c r="F557" s="145"/>
      <c r="G557" s="23"/>
    </row>
    <row r="558" spans="1:7" hidden="1">
      <c r="A558" s="199"/>
      <c r="B558" s="143"/>
      <c r="C558" s="84"/>
      <c r="D558" s="344" t="s">
        <v>438</v>
      </c>
      <c r="E558" s="76">
        <f>C556+F556</f>
        <v>0</v>
      </c>
      <c r="F558" s="145"/>
      <c r="G558" s="23"/>
    </row>
    <row r="559" spans="1:7" hidden="1">
      <c r="A559" s="199"/>
      <c r="B559" s="86"/>
      <c r="C559" s="84"/>
      <c r="D559" s="344" t="s">
        <v>439</v>
      </c>
      <c r="E559" s="76">
        <f>E558*E9</f>
        <v>0</v>
      </c>
      <c r="F559" s="77" t="s">
        <v>229</v>
      </c>
      <c r="G559" s="23"/>
    </row>
    <row r="560" spans="1:7" hidden="1">
      <c r="A560" s="199"/>
      <c r="B560" s="143"/>
      <c r="C560" s="84"/>
      <c r="D560" s="93"/>
      <c r="E560" s="145"/>
      <c r="F560" s="145"/>
      <c r="G560" s="23"/>
    </row>
    <row r="561" spans="1:7" hidden="1">
      <c r="B561" s="86"/>
      <c r="C561" s="128"/>
      <c r="D561" s="129"/>
      <c r="E561" s="129"/>
      <c r="F561" s="130"/>
      <c r="G561" s="23"/>
    </row>
    <row r="562" spans="1:7" hidden="1">
      <c r="B562" s="86"/>
      <c r="C562" s="131" t="s">
        <v>440</v>
      </c>
      <c r="D562" s="132"/>
      <c r="E562" s="76">
        <v>0</v>
      </c>
      <c r="F562" s="133" t="s">
        <v>229</v>
      </c>
      <c r="G562" s="112"/>
    </row>
    <row r="563" spans="1:7" hidden="1">
      <c r="A563" s="52"/>
      <c r="B563" s="86"/>
      <c r="C563" s="134" t="s">
        <v>441</v>
      </c>
      <c r="D563" s="132"/>
      <c r="E563" s="132"/>
      <c r="F563" s="135"/>
      <c r="G563" s="23"/>
    </row>
    <row r="564" spans="1:7" hidden="1">
      <c r="A564" s="52"/>
      <c r="B564" s="86"/>
      <c r="C564" s="131" t="s">
        <v>442</v>
      </c>
      <c r="D564" s="132"/>
      <c r="E564" s="76">
        <f>+E562*E9</f>
        <v>0</v>
      </c>
      <c r="F564" s="133" t="s">
        <v>229</v>
      </c>
      <c r="G564" s="92"/>
    </row>
    <row r="565" spans="1:7" ht="12" hidden="1" thickBot="1">
      <c r="A565" s="3"/>
      <c r="B565" s="86"/>
      <c r="C565" s="136" t="s">
        <v>443</v>
      </c>
      <c r="D565" s="137"/>
      <c r="E565" s="137"/>
      <c r="F565" s="138"/>
      <c r="G565" s="112"/>
    </row>
    <row r="566" spans="1:7" ht="12" hidden="1" thickBot="1">
      <c r="A566" s="52"/>
      <c r="B566" s="139"/>
      <c r="C566" s="26"/>
      <c r="D566" s="48"/>
      <c r="E566" s="126"/>
      <c r="F566" s="126"/>
      <c r="G566" s="29"/>
    </row>
    <row r="567" spans="1:7">
      <c r="A567" s="3"/>
      <c r="B567" s="3"/>
      <c r="C567" s="34"/>
      <c r="E567" s="100"/>
      <c r="F567" s="254"/>
      <c r="G567" s="115"/>
    </row>
    <row r="568" spans="1:7" ht="13.8">
      <c r="A568" s="757" t="s">
        <v>575</v>
      </c>
      <c r="B568" s="758"/>
      <c r="C568" s="758"/>
      <c r="D568" s="758"/>
      <c r="E568" s="758"/>
      <c r="F568" s="758"/>
      <c r="G568" s="758"/>
    </row>
    <row r="569" spans="1:7" ht="12" thickBot="1">
      <c r="A569" s="3"/>
      <c r="D569" s="199"/>
      <c r="F569" s="200"/>
    </row>
    <row r="570" spans="1:7">
      <c r="A570" s="3"/>
      <c r="B570" s="43" t="s">
        <v>445</v>
      </c>
      <c r="C570" s="44"/>
      <c r="D570" s="44"/>
      <c r="E570" s="44"/>
      <c r="F570" s="44"/>
      <c r="G570" s="201"/>
    </row>
    <row r="571" spans="1:7">
      <c r="A571" s="3"/>
      <c r="B571" s="202"/>
      <c r="C571" s="22"/>
      <c r="D571" s="22"/>
      <c r="E571" s="22"/>
      <c r="F571" s="22"/>
      <c r="G571" s="23"/>
    </row>
    <row r="572" spans="1:7">
      <c r="A572" s="3"/>
      <c r="B572" s="202"/>
      <c r="C572" s="22"/>
      <c r="D572" s="22"/>
      <c r="E572" s="22"/>
      <c r="F572" s="22"/>
      <c r="G572" s="23"/>
    </row>
    <row r="573" spans="1:7">
      <c r="A573" s="3"/>
      <c r="B573" s="202"/>
      <c r="C573" s="22"/>
      <c r="D573" s="22"/>
      <c r="E573" s="22"/>
      <c r="F573" s="22"/>
      <c r="G573" s="23"/>
    </row>
    <row r="574" spans="1:7">
      <c r="A574" s="3"/>
      <c r="B574" s="202"/>
      <c r="C574" s="22"/>
      <c r="D574" s="22"/>
      <c r="E574" s="22"/>
      <c r="F574" s="22"/>
      <c r="G574" s="23"/>
    </row>
    <row r="575" spans="1:7" ht="13.5" customHeight="1">
      <c r="A575" s="3"/>
      <c r="B575" s="202"/>
      <c r="C575" s="22"/>
      <c r="D575" s="22"/>
      <c r="E575" s="22"/>
      <c r="F575" s="22"/>
      <c r="G575" s="23"/>
    </row>
    <row r="576" spans="1:7" ht="13.5" customHeight="1">
      <c r="A576" s="3"/>
      <c r="B576" s="202"/>
      <c r="C576" s="22"/>
      <c r="D576" s="22"/>
      <c r="E576" s="22"/>
      <c r="F576" s="22"/>
      <c r="G576" s="23"/>
    </row>
    <row r="577" spans="1:7" ht="13.5" customHeight="1">
      <c r="A577" s="3"/>
      <c r="B577" s="202"/>
      <c r="C577" s="22"/>
      <c r="D577" s="22"/>
      <c r="E577" s="22"/>
      <c r="F577" s="22"/>
      <c r="G577" s="23"/>
    </row>
    <row r="578" spans="1:7" ht="13.5" customHeight="1">
      <c r="A578" s="3"/>
      <c r="B578" s="202"/>
      <c r="C578" s="777" t="s">
        <v>446</v>
      </c>
      <c r="D578" s="203" t="s">
        <v>109</v>
      </c>
      <c r="E578" s="204">
        <v>1.6500000000000001E-2</v>
      </c>
      <c r="F578" s="22"/>
      <c r="G578" s="23"/>
    </row>
    <row r="579" spans="1:7" ht="13.5" customHeight="1">
      <c r="A579" s="3"/>
      <c r="B579" s="202"/>
      <c r="C579" s="778"/>
      <c r="D579" s="203" t="s">
        <v>112</v>
      </c>
      <c r="E579" s="204">
        <v>7.5999999999999998E-2</v>
      </c>
      <c r="F579" s="22"/>
      <c r="G579" s="23"/>
    </row>
    <row r="580" spans="1:7" ht="13.5" customHeight="1">
      <c r="A580" s="3"/>
      <c r="B580" s="202"/>
      <c r="C580" s="778"/>
      <c r="D580" s="203" t="s">
        <v>115</v>
      </c>
      <c r="E580" s="204">
        <v>0.05</v>
      </c>
      <c r="F580" s="22"/>
      <c r="G580" s="23"/>
    </row>
    <row r="581" spans="1:7" ht="13.5" customHeight="1">
      <c r="A581" s="3"/>
      <c r="B581" s="202"/>
      <c r="C581" s="773" t="s">
        <v>447</v>
      </c>
      <c r="D581" s="773"/>
      <c r="E581" s="205">
        <f>SUM(E578:E580)</f>
        <v>0.14250000000000002</v>
      </c>
      <c r="F581" s="22"/>
      <c r="G581" s="23"/>
    </row>
    <row r="582" spans="1:7" ht="13.5" customHeight="1">
      <c r="A582" s="3"/>
      <c r="B582" s="95"/>
      <c r="C582" s="781" t="s">
        <v>448</v>
      </c>
      <c r="D582" s="782"/>
      <c r="E582" s="204">
        <v>3.4299999999999997E-2</v>
      </c>
      <c r="F582" s="22"/>
      <c r="G582" s="23"/>
    </row>
    <row r="583" spans="1:7" ht="13.5" customHeight="1">
      <c r="A583" s="3"/>
      <c r="B583" s="95"/>
      <c r="C583" s="773" t="s">
        <v>449</v>
      </c>
      <c r="D583" s="773"/>
      <c r="E583" s="204">
        <v>0.01</v>
      </c>
      <c r="F583" s="22"/>
      <c r="G583" s="23"/>
    </row>
    <row r="584" spans="1:7" ht="13.5" customHeight="1">
      <c r="A584" s="3"/>
      <c r="B584" s="78"/>
      <c r="C584" s="773" t="s">
        <v>450</v>
      </c>
      <c r="D584" s="773"/>
      <c r="E584" s="204">
        <v>4.8999999999999998E-3</v>
      </c>
      <c r="F584" s="22"/>
      <c r="G584" s="23"/>
    </row>
    <row r="585" spans="1:7" ht="13.5" customHeight="1">
      <c r="A585" s="3"/>
      <c r="B585" s="78"/>
      <c r="C585" s="773" t="s">
        <v>451</v>
      </c>
      <c r="D585" s="773"/>
      <c r="E585" s="204">
        <v>9.4000000000000004E-3</v>
      </c>
      <c r="F585" s="22"/>
      <c r="G585" s="23"/>
    </row>
    <row r="586" spans="1:7" ht="13.5" customHeight="1">
      <c r="A586" s="3"/>
      <c r="B586" s="95"/>
      <c r="C586" s="773" t="s">
        <v>452</v>
      </c>
      <c r="D586" s="773"/>
      <c r="E586" s="204">
        <v>8.5000000000000006E-2</v>
      </c>
      <c r="F586" s="22"/>
      <c r="G586" s="23"/>
    </row>
    <row r="587" spans="1:7" ht="13.5" customHeight="1">
      <c r="A587" s="3"/>
      <c r="B587" s="202"/>
      <c r="C587" s="774" t="s">
        <v>453</v>
      </c>
      <c r="D587" s="774"/>
      <c r="E587" s="255">
        <f>((1+E582+E583+E584)*(1+E585)*(1+E586))/(1-E581)-1</f>
        <v>0.34003823999999994</v>
      </c>
      <c r="F587" s="22"/>
      <c r="G587" s="23"/>
    </row>
    <row r="588" spans="1:7" ht="13.5" customHeight="1" thickBot="1">
      <c r="A588" s="3"/>
      <c r="B588" s="206"/>
      <c r="C588" s="207"/>
      <c r="D588" s="207"/>
      <c r="E588" s="207"/>
      <c r="F588" s="207"/>
      <c r="G588" s="208"/>
    </row>
    <row r="589" spans="1:7" ht="13.5" customHeight="1">
      <c r="A589" s="3"/>
      <c r="B589" s="182"/>
      <c r="C589" s="12"/>
      <c r="D589" s="12"/>
      <c r="E589" s="44"/>
      <c r="F589" s="44"/>
      <c r="G589" s="201"/>
    </row>
    <row r="590" spans="1:7" ht="13.5" customHeight="1">
      <c r="A590" s="52"/>
      <c r="B590" s="95"/>
      <c r="C590" s="19"/>
      <c r="D590" s="17" t="s">
        <v>454</v>
      </c>
      <c r="E590" s="76">
        <f>E508</f>
        <v>39510.53969333334</v>
      </c>
      <c r="F590" s="145" t="s">
        <v>340</v>
      </c>
      <c r="G590" s="23"/>
    </row>
    <row r="591" spans="1:7" ht="13.5" customHeight="1">
      <c r="A591" s="199"/>
      <c r="B591" s="78"/>
      <c r="C591" s="19"/>
      <c r="D591" s="17" t="s">
        <v>455</v>
      </c>
      <c r="E591" s="172">
        <v>1</v>
      </c>
      <c r="F591" s="145" t="s">
        <v>340</v>
      </c>
      <c r="G591" s="23"/>
    </row>
    <row r="592" spans="1:7" ht="13.5" customHeight="1">
      <c r="A592" s="199"/>
      <c r="B592" s="78"/>
      <c r="C592" s="19"/>
      <c r="D592" s="19"/>
      <c r="E592" s="19"/>
      <c r="F592" s="19"/>
      <c r="G592" s="23"/>
    </row>
    <row r="593" spans="1:7" ht="13.5" customHeight="1">
      <c r="A593" s="52"/>
      <c r="B593" s="95"/>
      <c r="C593" s="19"/>
      <c r="D593" s="209" t="s">
        <v>457</v>
      </c>
      <c r="E593" s="76">
        <f>E590/E591</f>
        <v>39510.53969333334</v>
      </c>
      <c r="F593" s="145" t="s">
        <v>340</v>
      </c>
      <c r="G593" s="23"/>
    </row>
    <row r="594" spans="1:7" ht="13.5" customHeight="1">
      <c r="A594" s="199"/>
      <c r="B594" s="78"/>
      <c r="C594" s="19"/>
      <c r="D594" s="56"/>
      <c r="E594" s="56"/>
      <c r="F594" s="145"/>
      <c r="G594" s="23"/>
    </row>
    <row r="595" spans="1:7">
      <c r="A595" s="199"/>
      <c r="B595" s="78"/>
      <c r="C595" s="17"/>
      <c r="D595" s="210" t="s">
        <v>459</v>
      </c>
      <c r="E595" s="76">
        <f>E593*(1+E587)</f>
        <v>52945.634072104549</v>
      </c>
      <c r="F595" s="145" t="s">
        <v>340</v>
      </c>
      <c r="G595" s="92"/>
    </row>
    <row r="596" spans="1:7" ht="12" thickBot="1">
      <c r="A596" s="211"/>
      <c r="B596" s="212"/>
      <c r="C596" s="213"/>
      <c r="D596" s="213"/>
      <c r="E596" s="48"/>
      <c r="F596" s="214"/>
      <c r="G596" s="215"/>
    </row>
    <row r="597" spans="1:7">
      <c r="A597" s="211"/>
      <c r="B597" s="211"/>
      <c r="C597" s="211"/>
      <c r="D597" s="216"/>
      <c r="E597" s="115"/>
      <c r="F597" s="217"/>
      <c r="G597" s="218"/>
    </row>
    <row r="598" spans="1:7" ht="12.75" customHeight="1">
      <c r="A598" s="211"/>
      <c r="B598" s="211"/>
      <c r="C598" s="211"/>
      <c r="D598" s="216"/>
      <c r="E598" s="115"/>
      <c r="F598" s="217"/>
      <c r="G598" s="218"/>
    </row>
    <row r="599" spans="1:7">
      <c r="A599" s="211"/>
      <c r="B599" s="211"/>
      <c r="C599" s="211"/>
      <c r="D599" s="216"/>
      <c r="E599" s="115"/>
      <c r="F599" s="217"/>
      <c r="G599" s="218"/>
    </row>
    <row r="600" spans="1:7">
      <c r="A600" s="211"/>
      <c r="B600" s="211"/>
      <c r="C600" s="211"/>
      <c r="D600" s="216"/>
      <c r="E600" s="115"/>
      <c r="F600" s="217"/>
      <c r="G600" s="218"/>
    </row>
    <row r="601" spans="1:7">
      <c r="A601" s="211"/>
      <c r="B601" s="211"/>
      <c r="C601" s="211"/>
      <c r="D601" s="216"/>
      <c r="E601" s="115"/>
      <c r="F601" s="217"/>
      <c r="G601" s="218"/>
    </row>
    <row r="602" spans="1:7">
      <c r="A602" s="211"/>
      <c r="B602" s="211"/>
      <c r="C602" s="211"/>
      <c r="D602" s="216"/>
      <c r="E602" s="115"/>
      <c r="F602" s="217"/>
      <c r="G602" s="218"/>
    </row>
    <row r="603" spans="1:7">
      <c r="A603" s="211"/>
      <c r="B603" s="211"/>
      <c r="C603" s="211"/>
      <c r="D603" s="216"/>
      <c r="E603" s="115"/>
      <c r="F603" s="217"/>
      <c r="G603" s="218"/>
    </row>
    <row r="604" spans="1:7">
      <c r="A604" s="211"/>
      <c r="B604" s="211"/>
      <c r="C604" s="211"/>
      <c r="D604" s="216"/>
      <c r="E604" s="115"/>
      <c r="F604" s="217"/>
      <c r="G604" s="218"/>
    </row>
    <row r="605" spans="1:7">
      <c r="A605" s="211"/>
      <c r="B605" s="211"/>
      <c r="C605" s="211"/>
      <c r="D605" s="216"/>
      <c r="E605" s="115"/>
      <c r="F605" s="217"/>
      <c r="G605" s="218"/>
    </row>
    <row r="606" spans="1:7">
      <c r="A606" s="211"/>
      <c r="B606" s="211"/>
      <c r="C606" s="211"/>
      <c r="D606" s="216"/>
      <c r="E606" s="115"/>
      <c r="F606" s="217"/>
      <c r="G606" s="218"/>
    </row>
    <row r="607" spans="1:7">
      <c r="A607" s="211"/>
      <c r="B607" s="211"/>
      <c r="C607" s="211"/>
      <c r="D607" s="216"/>
      <c r="E607" s="115"/>
      <c r="F607" s="217"/>
      <c r="G607" s="218"/>
    </row>
    <row r="608" spans="1:7">
      <c r="A608" s="211"/>
      <c r="B608" s="211"/>
      <c r="C608" s="211"/>
      <c r="D608" s="216"/>
      <c r="E608" s="115"/>
      <c r="F608" s="217"/>
      <c r="G608" s="218"/>
    </row>
    <row r="609" spans="1:7">
      <c r="A609" s="211"/>
      <c r="B609" s="211"/>
      <c r="C609" s="211"/>
      <c r="D609" s="216"/>
      <c r="E609" s="115"/>
      <c r="F609" s="217"/>
      <c r="G609" s="218"/>
    </row>
    <row r="610" spans="1:7">
      <c r="A610" s="211"/>
      <c r="B610" s="211"/>
      <c r="C610" s="211"/>
      <c r="D610" s="216"/>
      <c r="E610" s="115"/>
      <c r="F610" s="217"/>
      <c r="G610" s="218"/>
    </row>
    <row r="611" spans="1:7">
      <c r="A611" s="211"/>
      <c r="B611" s="211"/>
      <c r="C611" s="211"/>
      <c r="D611" s="216"/>
      <c r="E611" s="115"/>
      <c r="F611" s="217"/>
      <c r="G611" s="218"/>
    </row>
    <row r="612" spans="1:7">
      <c r="A612" s="211"/>
      <c r="B612" s="211"/>
      <c r="C612" s="211"/>
      <c r="D612" s="216"/>
      <c r="E612" s="115"/>
      <c r="F612" s="217"/>
      <c r="G612" s="218"/>
    </row>
    <row r="613" spans="1:7">
      <c r="A613" s="211"/>
      <c r="B613" s="211"/>
      <c r="C613" s="211"/>
      <c r="D613" s="216"/>
      <c r="E613" s="115"/>
      <c r="F613" s="217"/>
      <c r="G613" s="218"/>
    </row>
    <row r="614" spans="1:7">
      <c r="A614" s="211"/>
      <c r="B614" s="211"/>
      <c r="C614" s="211"/>
      <c r="D614" s="216"/>
      <c r="E614" s="115"/>
      <c r="F614" s="217"/>
      <c r="G614" s="218"/>
    </row>
    <row r="615" spans="1:7">
      <c r="A615" s="211"/>
      <c r="B615" s="211"/>
      <c r="C615" s="211"/>
      <c r="D615" s="216"/>
      <c r="E615" s="115"/>
      <c r="F615" s="217"/>
      <c r="G615" s="218"/>
    </row>
    <row r="616" spans="1:7">
      <c r="A616" s="211"/>
      <c r="B616" s="211"/>
      <c r="C616" s="211"/>
      <c r="D616" s="216"/>
      <c r="E616" s="115"/>
      <c r="F616" s="217"/>
      <c r="G616" s="218"/>
    </row>
    <row r="617" spans="1:7">
      <c r="A617" s="211"/>
      <c r="B617" s="211"/>
      <c r="C617" s="211"/>
      <c r="D617" s="216"/>
      <c r="E617" s="115"/>
      <c r="F617" s="217"/>
      <c r="G617" s="218"/>
    </row>
    <row r="618" spans="1:7">
      <c r="A618" s="211"/>
      <c r="B618" s="211"/>
      <c r="C618" s="211"/>
      <c r="D618" s="216"/>
      <c r="E618" s="115"/>
      <c r="F618" s="217"/>
      <c r="G618" s="218"/>
    </row>
    <row r="619" spans="1:7">
      <c r="A619" s="211"/>
      <c r="B619" s="211"/>
      <c r="C619" s="211"/>
      <c r="D619" s="216"/>
      <c r="E619" s="115"/>
      <c r="F619" s="217"/>
      <c r="G619" s="218"/>
    </row>
    <row r="620" spans="1:7">
      <c r="A620" s="211"/>
      <c r="B620" s="211"/>
      <c r="C620" s="211"/>
      <c r="D620" s="216"/>
      <c r="E620" s="115"/>
      <c r="F620" s="217"/>
      <c r="G620" s="218"/>
    </row>
    <row r="621" spans="1:7">
      <c r="A621" s="211"/>
      <c r="B621" s="211"/>
      <c r="C621" s="211"/>
      <c r="D621" s="216"/>
      <c r="E621" s="115"/>
      <c r="F621" s="217"/>
      <c r="G621" s="218"/>
    </row>
    <row r="622" spans="1:7">
      <c r="A622" s="211"/>
      <c r="B622" s="211"/>
      <c r="C622" s="211"/>
      <c r="D622" s="216"/>
      <c r="E622" s="115"/>
      <c r="F622" s="217"/>
      <c r="G622" s="218"/>
    </row>
    <row r="623" spans="1:7">
      <c r="A623" s="211"/>
      <c r="B623" s="211"/>
      <c r="C623" s="211"/>
      <c r="D623" s="216"/>
      <c r="E623" s="115"/>
      <c r="F623" s="217"/>
      <c r="G623" s="218"/>
    </row>
    <row r="624" spans="1:7">
      <c r="A624" s="211"/>
      <c r="B624" s="211"/>
      <c r="C624" s="211"/>
      <c r="D624" s="216"/>
      <c r="E624" s="115"/>
      <c r="F624" s="217"/>
      <c r="G624" s="218"/>
    </row>
    <row r="625" spans="1:7">
      <c r="A625" s="211"/>
      <c r="B625" s="211"/>
      <c r="C625" s="211"/>
      <c r="D625" s="216"/>
      <c r="E625" s="115"/>
      <c r="F625" s="217"/>
      <c r="G625" s="218"/>
    </row>
    <row r="626" spans="1:7">
      <c r="A626" s="211"/>
      <c r="B626" s="211"/>
      <c r="C626" s="211"/>
      <c r="D626" s="216"/>
      <c r="E626" s="115"/>
      <c r="F626" s="217"/>
      <c r="G626" s="218"/>
    </row>
    <row r="627" spans="1:7">
      <c r="A627" s="211"/>
      <c r="B627" s="211"/>
      <c r="C627" s="211"/>
      <c r="D627" s="216"/>
      <c r="E627" s="115"/>
      <c r="F627" s="217"/>
      <c r="G627" s="218"/>
    </row>
    <row r="628" spans="1:7">
      <c r="A628" s="211"/>
      <c r="B628" s="211"/>
      <c r="C628" s="211"/>
      <c r="D628" s="216"/>
      <c r="E628" s="115"/>
      <c r="F628" s="217"/>
      <c r="G628" s="218"/>
    </row>
    <row r="629" spans="1:7">
      <c r="A629" s="211"/>
      <c r="B629" s="211"/>
      <c r="C629" s="211"/>
      <c r="D629" s="216"/>
      <c r="E629" s="115"/>
      <c r="F629" s="217"/>
      <c r="G629" s="218"/>
    </row>
    <row r="630" spans="1:7">
      <c r="A630" s="211"/>
      <c r="B630" s="211"/>
      <c r="C630" s="211"/>
      <c r="D630" s="216"/>
      <c r="E630" s="115"/>
      <c r="F630" s="217"/>
      <c r="G630" s="218"/>
    </row>
    <row r="631" spans="1:7">
      <c r="A631" s="211"/>
      <c r="B631" s="211"/>
      <c r="C631" s="211"/>
      <c r="D631" s="216"/>
      <c r="E631" s="115"/>
      <c r="F631" s="217"/>
      <c r="G631" s="218"/>
    </row>
    <row r="632" spans="1:7">
      <c r="A632" s="211"/>
      <c r="B632" s="211"/>
      <c r="C632" s="211"/>
      <c r="D632" s="216"/>
      <c r="E632" s="115"/>
      <c r="F632" s="217"/>
      <c r="G632" s="218"/>
    </row>
    <row r="633" spans="1:7">
      <c r="A633" s="211"/>
      <c r="B633" s="211"/>
      <c r="C633" s="211"/>
      <c r="D633" s="216"/>
      <c r="E633" s="115"/>
      <c r="F633" s="217"/>
      <c r="G633" s="218"/>
    </row>
    <row r="634" spans="1:7">
      <c r="A634" s="211"/>
      <c r="B634" s="211"/>
      <c r="C634" s="211"/>
      <c r="D634" s="216"/>
      <c r="E634" s="115"/>
      <c r="F634" s="217"/>
      <c r="G634" s="218"/>
    </row>
    <row r="635" spans="1:7">
      <c r="A635" s="211"/>
      <c r="B635" s="211"/>
      <c r="C635" s="211"/>
      <c r="D635" s="216"/>
      <c r="E635" s="115"/>
      <c r="F635" s="217"/>
      <c r="G635" s="218"/>
    </row>
    <row r="636" spans="1:7">
      <c r="A636" s="211"/>
      <c r="B636" s="211"/>
      <c r="C636" s="211"/>
      <c r="D636" s="216"/>
      <c r="E636" s="115"/>
      <c r="F636" s="217"/>
      <c r="G636" s="218"/>
    </row>
    <row r="637" spans="1:7">
      <c r="A637" s="211"/>
      <c r="B637" s="211"/>
      <c r="C637" s="211"/>
      <c r="D637" s="216"/>
      <c r="E637" s="115"/>
      <c r="F637" s="217"/>
      <c r="G637" s="218"/>
    </row>
    <row r="638" spans="1:7">
      <c r="A638" s="211"/>
      <c r="B638" s="211"/>
      <c r="C638" s="211"/>
      <c r="D638" s="216"/>
      <c r="E638" s="115"/>
      <c r="F638" s="217"/>
      <c r="G638" s="218"/>
    </row>
    <row r="639" spans="1:7">
      <c r="A639" s="211"/>
      <c r="B639" s="211"/>
      <c r="C639" s="211"/>
      <c r="D639" s="216"/>
      <c r="E639" s="115"/>
      <c r="F639" s="217"/>
      <c r="G639" s="218"/>
    </row>
    <row r="640" spans="1:7">
      <c r="A640" s="211"/>
      <c r="B640" s="211"/>
      <c r="C640" s="211"/>
      <c r="D640" s="216"/>
      <c r="E640" s="115"/>
      <c r="F640" s="217"/>
      <c r="G640" s="218"/>
    </row>
    <row r="641" spans="1:7">
      <c r="A641" s="211"/>
      <c r="B641" s="211"/>
      <c r="C641" s="211"/>
      <c r="D641" s="216"/>
      <c r="E641" s="115"/>
      <c r="F641" s="217"/>
      <c r="G641" s="218"/>
    </row>
    <row r="642" spans="1:7">
      <c r="A642" s="211"/>
      <c r="B642" s="211"/>
      <c r="C642" s="211"/>
      <c r="D642" s="216"/>
      <c r="E642" s="115"/>
      <c r="F642" s="217"/>
      <c r="G642" s="218"/>
    </row>
    <row r="643" spans="1:7">
      <c r="A643" s="211"/>
      <c r="B643" s="211"/>
      <c r="C643" s="211"/>
      <c r="D643" s="216"/>
      <c r="E643" s="115"/>
      <c r="F643" s="217"/>
      <c r="G643" s="218"/>
    </row>
    <row r="644" spans="1:7">
      <c r="A644" s="211"/>
      <c r="B644" s="211"/>
      <c r="C644" s="211"/>
      <c r="D644" s="216"/>
      <c r="E644" s="115"/>
      <c r="F644" s="217"/>
      <c r="G644" s="218"/>
    </row>
    <row r="645" spans="1:7">
      <c r="A645" s="211"/>
      <c r="B645" s="211"/>
      <c r="C645" s="211"/>
      <c r="D645" s="216"/>
      <c r="E645" s="115"/>
      <c r="F645" s="217"/>
      <c r="G645" s="218"/>
    </row>
    <row r="646" spans="1:7">
      <c r="A646" s="211"/>
      <c r="B646" s="211"/>
      <c r="C646" s="211"/>
      <c r="D646" s="216"/>
      <c r="E646" s="115"/>
      <c r="F646" s="217"/>
      <c r="G646" s="218"/>
    </row>
    <row r="647" spans="1:7">
      <c r="A647" s="211"/>
      <c r="B647" s="211"/>
      <c r="C647" s="211"/>
      <c r="D647" s="216"/>
      <c r="E647" s="115"/>
      <c r="F647" s="217"/>
      <c r="G647" s="218"/>
    </row>
    <row r="648" spans="1:7">
      <c r="A648" s="211"/>
      <c r="B648" s="211"/>
      <c r="C648" s="211"/>
      <c r="D648" s="216"/>
      <c r="E648" s="115"/>
      <c r="F648" s="217"/>
      <c r="G648" s="218"/>
    </row>
    <row r="649" spans="1:7">
      <c r="A649" s="211"/>
      <c r="B649" s="211"/>
      <c r="C649" s="211"/>
      <c r="D649" s="216"/>
      <c r="E649" s="115"/>
      <c r="F649" s="217"/>
      <c r="G649" s="218"/>
    </row>
    <row r="650" spans="1:7">
      <c r="A650" s="211"/>
      <c r="B650" s="211"/>
      <c r="C650" s="211"/>
      <c r="D650" s="216"/>
      <c r="E650" s="115"/>
      <c r="F650" s="217"/>
      <c r="G650" s="218"/>
    </row>
    <row r="651" spans="1:7">
      <c r="A651" s="211"/>
      <c r="B651" s="211"/>
      <c r="C651" s="211"/>
      <c r="D651" s="216"/>
      <c r="E651" s="115"/>
      <c r="F651" s="217"/>
      <c r="G651" s="218"/>
    </row>
    <row r="652" spans="1:7">
      <c r="A652" s="211"/>
      <c r="B652" s="211"/>
      <c r="C652" s="211"/>
      <c r="D652" s="216"/>
      <c r="E652" s="115"/>
      <c r="F652" s="217"/>
      <c r="G652" s="218"/>
    </row>
    <row r="653" spans="1:7">
      <c r="A653" s="211"/>
      <c r="B653" s="211"/>
      <c r="C653" s="211"/>
      <c r="D653" s="216"/>
      <c r="E653" s="115"/>
      <c r="F653" s="217"/>
      <c r="G653" s="218"/>
    </row>
    <row r="654" spans="1:7">
      <c r="A654" s="211"/>
      <c r="B654" s="211"/>
      <c r="C654" s="211"/>
      <c r="D654" s="216"/>
      <c r="E654" s="115"/>
      <c r="F654" s="217"/>
      <c r="G654" s="218"/>
    </row>
    <row r="655" spans="1:7">
      <c r="A655" s="211"/>
      <c r="B655" s="211"/>
      <c r="C655" s="211"/>
      <c r="D655" s="216"/>
      <c r="E655" s="115"/>
      <c r="F655" s="217"/>
      <c r="G655" s="218"/>
    </row>
    <row r="656" spans="1:7">
      <c r="A656" s="211"/>
      <c r="B656" s="211"/>
      <c r="C656" s="211"/>
      <c r="D656" s="216"/>
      <c r="E656" s="115"/>
      <c r="F656" s="217"/>
      <c r="G656" s="218"/>
    </row>
    <row r="657" spans="1:7">
      <c r="A657" s="211"/>
      <c r="B657" s="211"/>
      <c r="C657" s="211"/>
      <c r="D657" s="216"/>
      <c r="E657" s="115"/>
      <c r="F657" s="217"/>
      <c r="G657" s="218"/>
    </row>
    <row r="658" spans="1:7">
      <c r="A658" s="211"/>
      <c r="B658" s="211"/>
      <c r="C658" s="211"/>
      <c r="D658" s="216"/>
      <c r="E658" s="115"/>
      <c r="F658" s="217"/>
      <c r="G658" s="218"/>
    </row>
    <row r="659" spans="1:7">
      <c r="A659" s="211"/>
      <c r="B659" s="211"/>
      <c r="C659" s="211"/>
      <c r="D659" s="216"/>
      <c r="E659" s="115"/>
      <c r="F659" s="217"/>
      <c r="G659" s="218"/>
    </row>
    <row r="660" spans="1:7">
      <c r="A660" s="211"/>
      <c r="B660" s="211"/>
      <c r="C660" s="211"/>
      <c r="D660" s="216"/>
      <c r="E660" s="115"/>
      <c r="F660" s="217"/>
      <c r="G660" s="218"/>
    </row>
    <row r="661" spans="1:7">
      <c r="A661" s="211"/>
      <c r="B661" s="211"/>
      <c r="C661" s="211"/>
      <c r="D661" s="216"/>
      <c r="E661" s="115"/>
      <c r="F661" s="217"/>
      <c r="G661" s="218"/>
    </row>
    <row r="662" spans="1:7">
      <c r="A662" s="211"/>
      <c r="B662" s="211"/>
      <c r="C662" s="211"/>
      <c r="D662" s="216"/>
      <c r="E662" s="115"/>
      <c r="F662" s="217"/>
      <c r="G662" s="218"/>
    </row>
    <row r="663" spans="1:7">
      <c r="A663" s="211"/>
      <c r="B663" s="211"/>
      <c r="C663" s="211"/>
      <c r="D663" s="216"/>
      <c r="E663" s="115"/>
      <c r="F663" s="217"/>
      <c r="G663" s="218"/>
    </row>
    <row r="664" spans="1:7">
      <c r="A664" s="211"/>
      <c r="B664" s="211"/>
      <c r="C664" s="211"/>
      <c r="D664" s="216"/>
      <c r="E664" s="115"/>
      <c r="F664" s="217"/>
      <c r="G664" s="218"/>
    </row>
    <row r="665" spans="1:7">
      <c r="A665" s="211"/>
      <c r="B665" s="211"/>
      <c r="C665" s="211"/>
      <c r="D665" s="216"/>
      <c r="E665" s="115"/>
      <c r="F665" s="217"/>
      <c r="G665" s="218"/>
    </row>
    <row r="666" spans="1:7">
      <c r="A666" s="211"/>
      <c r="B666" s="211"/>
      <c r="C666" s="211"/>
      <c r="D666" s="216"/>
      <c r="E666" s="115"/>
      <c r="F666" s="217"/>
      <c r="G666" s="218"/>
    </row>
    <row r="667" spans="1:7">
      <c r="A667" s="211"/>
      <c r="B667" s="211"/>
      <c r="C667" s="211"/>
      <c r="D667" s="216"/>
      <c r="E667" s="115"/>
      <c r="F667" s="217"/>
      <c r="G667" s="218"/>
    </row>
    <row r="668" spans="1:7">
      <c r="A668" s="211"/>
      <c r="B668" s="211"/>
      <c r="C668" s="211"/>
      <c r="D668" s="216"/>
      <c r="E668" s="115"/>
      <c r="F668" s="217"/>
      <c r="G668" s="218"/>
    </row>
    <row r="669" spans="1:7">
      <c r="A669" s="211"/>
      <c r="B669" s="211"/>
      <c r="C669" s="211"/>
      <c r="D669" s="216"/>
      <c r="E669" s="115"/>
      <c r="F669" s="217"/>
      <c r="G669" s="218"/>
    </row>
    <row r="670" spans="1:7">
      <c r="A670" s="211"/>
      <c r="B670" s="211"/>
      <c r="C670" s="211"/>
      <c r="D670" s="216"/>
      <c r="E670" s="115"/>
      <c r="F670" s="217"/>
      <c r="G670" s="218"/>
    </row>
    <row r="671" spans="1:7">
      <c r="A671" s="211"/>
      <c r="B671" s="211"/>
      <c r="C671" s="211"/>
      <c r="D671" s="216"/>
      <c r="E671" s="115"/>
      <c r="F671" s="217"/>
      <c r="G671" s="218"/>
    </row>
    <row r="672" spans="1:7">
      <c r="A672" s="211"/>
      <c r="B672" s="211"/>
      <c r="C672" s="211"/>
      <c r="D672" s="216"/>
      <c r="E672" s="115"/>
      <c r="F672" s="217"/>
      <c r="G672" s="218"/>
    </row>
    <row r="673" spans="1:7">
      <c r="A673" s="211"/>
      <c r="B673" s="211"/>
      <c r="C673" s="211"/>
      <c r="D673" s="216"/>
      <c r="E673" s="115"/>
      <c r="F673" s="217"/>
      <c r="G673" s="218"/>
    </row>
    <row r="674" spans="1:7">
      <c r="A674" s="211"/>
      <c r="B674" s="211"/>
      <c r="C674" s="211"/>
      <c r="D674" s="216"/>
      <c r="E674" s="115"/>
      <c r="F674" s="217"/>
      <c r="G674" s="218"/>
    </row>
    <row r="675" spans="1:7">
      <c r="A675" s="211"/>
      <c r="B675" s="211"/>
      <c r="C675" s="211"/>
      <c r="D675" s="216"/>
      <c r="E675" s="115"/>
      <c r="F675" s="217"/>
      <c r="G675" s="218"/>
    </row>
    <row r="676" spans="1:7">
      <c r="A676" s="211"/>
      <c r="B676" s="211"/>
      <c r="C676" s="211"/>
      <c r="D676" s="216"/>
      <c r="E676" s="115"/>
      <c r="F676" s="217"/>
      <c r="G676" s="218"/>
    </row>
    <row r="677" spans="1:7">
      <c r="A677" s="211"/>
      <c r="B677" s="211"/>
      <c r="C677" s="211"/>
      <c r="D677" s="216"/>
      <c r="E677" s="115"/>
      <c r="F677" s="217"/>
      <c r="G677" s="218"/>
    </row>
    <row r="678" spans="1:7">
      <c r="A678" s="211"/>
      <c r="B678" s="211"/>
      <c r="C678" s="211"/>
      <c r="D678" s="216"/>
      <c r="E678" s="115"/>
      <c r="F678" s="217"/>
      <c r="G678" s="218"/>
    </row>
    <row r="679" spans="1:7">
      <c r="A679" s="211"/>
      <c r="B679" s="211"/>
      <c r="C679" s="211"/>
      <c r="D679" s="216"/>
      <c r="E679" s="115"/>
      <c r="F679" s="217"/>
      <c r="G679" s="218"/>
    </row>
    <row r="680" spans="1:7">
      <c r="A680" s="211"/>
      <c r="B680" s="211"/>
      <c r="C680" s="211"/>
      <c r="D680" s="216"/>
      <c r="E680" s="115"/>
      <c r="F680" s="217"/>
      <c r="G680" s="218"/>
    </row>
    <row r="681" spans="1:7">
      <c r="A681" s="211"/>
      <c r="B681" s="211"/>
      <c r="C681" s="211"/>
      <c r="D681" s="216"/>
      <c r="E681" s="115"/>
      <c r="F681" s="217"/>
      <c r="G681" s="218"/>
    </row>
    <row r="682" spans="1:7">
      <c r="A682" s="211"/>
      <c r="B682" s="211"/>
      <c r="C682" s="211"/>
      <c r="D682" s="216"/>
      <c r="E682" s="115"/>
      <c r="F682" s="217"/>
      <c r="G682" s="218"/>
    </row>
    <row r="683" spans="1:7">
      <c r="A683" s="211"/>
      <c r="B683" s="211"/>
      <c r="C683" s="211"/>
      <c r="D683" s="216"/>
      <c r="E683" s="115"/>
      <c r="F683" s="217"/>
      <c r="G683" s="218"/>
    </row>
    <row r="684" spans="1:7">
      <c r="A684" s="211"/>
      <c r="B684" s="211"/>
      <c r="C684" s="211"/>
      <c r="D684" s="216"/>
      <c r="E684" s="115"/>
      <c r="F684" s="217"/>
      <c r="G684" s="218"/>
    </row>
    <row r="685" spans="1:7">
      <c r="A685" s="211"/>
      <c r="B685" s="211"/>
      <c r="C685" s="211"/>
      <c r="D685" s="216"/>
      <c r="E685" s="115"/>
      <c r="F685" s="217"/>
      <c r="G685" s="218"/>
    </row>
    <row r="686" spans="1:7">
      <c r="A686" s="211"/>
      <c r="B686" s="211"/>
      <c r="C686" s="211"/>
      <c r="D686" s="216"/>
      <c r="E686" s="115"/>
      <c r="F686" s="217"/>
      <c r="G686" s="218"/>
    </row>
    <row r="687" spans="1:7">
      <c r="A687" s="211"/>
      <c r="B687" s="211"/>
      <c r="C687" s="211"/>
      <c r="D687" s="216"/>
      <c r="E687" s="115"/>
      <c r="F687" s="217"/>
      <c r="G687" s="218"/>
    </row>
    <row r="688" spans="1:7">
      <c r="A688" s="211"/>
      <c r="B688" s="211"/>
      <c r="C688" s="211"/>
      <c r="D688" s="216"/>
      <c r="E688" s="115"/>
      <c r="F688" s="217"/>
      <c r="G688" s="218"/>
    </row>
    <row r="689" spans="1:7">
      <c r="A689" s="211"/>
      <c r="B689" s="211"/>
      <c r="C689" s="211"/>
      <c r="D689" s="216"/>
      <c r="E689" s="115"/>
      <c r="F689" s="217"/>
      <c r="G689" s="218"/>
    </row>
    <row r="690" spans="1:7">
      <c r="A690" s="211"/>
      <c r="B690" s="211"/>
      <c r="C690" s="211"/>
      <c r="D690" s="216"/>
      <c r="E690" s="115"/>
      <c r="F690" s="217"/>
      <c r="G690" s="218"/>
    </row>
    <row r="691" spans="1:7">
      <c r="A691" s="211"/>
      <c r="B691" s="211"/>
      <c r="C691" s="211"/>
      <c r="D691" s="216"/>
      <c r="E691" s="115"/>
      <c r="F691" s="217"/>
      <c r="G691" s="218"/>
    </row>
    <row r="692" spans="1:7">
      <c r="A692" s="211"/>
      <c r="B692" s="211"/>
      <c r="C692" s="211"/>
      <c r="D692" s="216"/>
      <c r="E692" s="115"/>
      <c r="F692" s="217"/>
      <c r="G692" s="218"/>
    </row>
    <row r="693" spans="1:7">
      <c r="A693" s="211"/>
      <c r="B693" s="211"/>
      <c r="C693" s="211"/>
      <c r="D693" s="216"/>
      <c r="E693" s="115"/>
      <c r="F693" s="217"/>
      <c r="G693" s="218"/>
    </row>
    <row r="694" spans="1:7">
      <c r="B694" s="102"/>
      <c r="E694" s="3"/>
      <c r="F694" s="3"/>
    </row>
    <row r="695" spans="1:7">
      <c r="B695" s="102"/>
      <c r="E695" s="3"/>
      <c r="F695" s="3"/>
    </row>
    <row r="696" spans="1:7">
      <c r="B696" s="102"/>
      <c r="E696" s="3"/>
      <c r="F696" s="3"/>
    </row>
    <row r="697" spans="1:7">
      <c r="A697" s="52"/>
      <c r="B697" s="52"/>
      <c r="C697" s="52"/>
      <c r="D697" s="52"/>
      <c r="E697" s="52"/>
    </row>
    <row r="698" spans="1:7">
      <c r="A698" s="34"/>
      <c r="E698" s="242"/>
    </row>
    <row r="699" spans="1:7" ht="13.2">
      <c r="A699" s="34"/>
      <c r="B699" s="243"/>
      <c r="E699" s="242"/>
    </row>
  </sheetData>
  <sheetProtection formatCells="0" formatColumns="0" formatRows="0" insertColumns="0" insertRows="0" insertHyperlinks="0" deleteColumns="0" deleteRows="0" sort="0" autoFilter="0" pivotTables="0"/>
  <mergeCells count="51">
    <mergeCell ref="C585:D585"/>
    <mergeCell ref="C586:D586"/>
    <mergeCell ref="C587:D587"/>
    <mergeCell ref="A568:G568"/>
    <mergeCell ref="C578:C580"/>
    <mergeCell ref="C581:D581"/>
    <mergeCell ref="C582:D582"/>
    <mergeCell ref="C583:D583"/>
    <mergeCell ref="C584:D584"/>
    <mergeCell ref="A531:G531"/>
    <mergeCell ref="C190:D190"/>
    <mergeCell ref="C191:D191"/>
    <mergeCell ref="C206:D206"/>
    <mergeCell ref="A237:G237"/>
    <mergeCell ref="C240:F240"/>
    <mergeCell ref="C248:F248"/>
    <mergeCell ref="A292:G292"/>
    <mergeCell ref="A294:G294"/>
    <mergeCell ref="A432:G432"/>
    <mergeCell ref="B465:D465"/>
    <mergeCell ref="A514:G514"/>
    <mergeCell ref="C183:D183"/>
    <mergeCell ref="C104:D104"/>
    <mergeCell ref="C105:D105"/>
    <mergeCell ref="C120:D120"/>
    <mergeCell ref="A144:G144"/>
    <mergeCell ref="C158:D158"/>
    <mergeCell ref="C159:D159"/>
    <mergeCell ref="C166:D166"/>
    <mergeCell ref="C167:D167"/>
    <mergeCell ref="C174:D174"/>
    <mergeCell ref="C175:D175"/>
    <mergeCell ref="C182:D182"/>
    <mergeCell ref="C97:D97"/>
    <mergeCell ref="C20:D20"/>
    <mergeCell ref="B28:B34"/>
    <mergeCell ref="A36:G36"/>
    <mergeCell ref="B39:G39"/>
    <mergeCell ref="A64:G64"/>
    <mergeCell ref="A66:G66"/>
    <mergeCell ref="C80:D80"/>
    <mergeCell ref="C81:D81"/>
    <mergeCell ref="C88:D88"/>
    <mergeCell ref="C89:D89"/>
    <mergeCell ref="C96:D96"/>
    <mergeCell ref="C19:D19"/>
    <mergeCell ref="A1:G2"/>
    <mergeCell ref="A3:G4"/>
    <mergeCell ref="A13:G13"/>
    <mergeCell ref="B15:E15"/>
    <mergeCell ref="C18:D18"/>
  </mergeCells>
  <pageMargins left="0.25" right="0.25" top="0.75" bottom="0.75" header="0.3" footer="0.3"/>
  <pageSetup paperSize="9" scale="67" fitToHeight="6" orientation="portrait" r:id="rId1"/>
  <rowBreaks count="5" manualBreakCount="5">
    <brk id="95" max="6" man="1"/>
    <brk id="196" max="6" man="1"/>
    <brk id="290" max="6" man="1"/>
    <brk id="397" max="6" man="1"/>
    <brk id="514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514"/>
  <sheetViews>
    <sheetView view="pageBreakPreview" topLeftCell="A386" zoomScaleNormal="100" zoomScaleSheetLayoutView="100" workbookViewId="0">
      <selection activeCell="E303" sqref="E303"/>
    </sheetView>
  </sheetViews>
  <sheetFormatPr defaultColWidth="11.44140625" defaultRowHeight="11.4"/>
  <cols>
    <col min="1" max="1" width="11.44140625" style="1" customWidth="1"/>
    <col min="2" max="2" width="33.33203125" style="1" customWidth="1"/>
    <col min="3" max="3" width="20.6640625" style="1" customWidth="1"/>
    <col min="4" max="4" width="37.109375" style="1" customWidth="1"/>
    <col min="5" max="5" width="20.33203125" style="1" customWidth="1"/>
    <col min="6" max="6" width="17.88671875" style="1" customWidth="1"/>
    <col min="7" max="7" width="11.44140625" style="1" customWidth="1"/>
    <col min="8" max="8" width="13.88671875" style="1" customWidth="1"/>
    <col min="9" max="9" width="12.6640625" style="52" customWidth="1"/>
    <col min="10" max="16384" width="11.44140625" style="52"/>
  </cols>
  <sheetData>
    <row r="1" spans="1:8" ht="11.25" customHeight="1">
      <c r="A1" s="779" t="s">
        <v>178</v>
      </c>
      <c r="B1" s="730"/>
      <c r="C1" s="730"/>
      <c r="D1" s="730"/>
      <c r="E1" s="730"/>
      <c r="F1" s="730"/>
      <c r="G1" s="730"/>
      <c r="H1" s="730"/>
    </row>
    <row r="2" spans="1:8" ht="11.25" customHeight="1">
      <c r="A2" s="779"/>
      <c r="B2" s="730"/>
      <c r="C2" s="730"/>
      <c r="D2" s="730"/>
      <c r="E2" s="730"/>
      <c r="F2" s="730"/>
      <c r="G2" s="730"/>
      <c r="H2" s="730"/>
    </row>
    <row r="3" spans="1:8" ht="14.25" customHeight="1">
      <c r="A3" s="787" t="str">
        <f>'QUADRO GERAL'!B5</f>
        <v>IMPLANTAÇÃO E OPERAÇÃO DE ECOPONTOS</v>
      </c>
      <c r="B3" s="787"/>
      <c r="C3" s="787"/>
      <c r="D3" s="787"/>
      <c r="E3" s="787"/>
      <c r="F3" s="787"/>
      <c r="G3" s="787"/>
      <c r="H3" s="393"/>
    </row>
    <row r="4" spans="1:8" ht="11.4" customHeight="1">
      <c r="A4" s="787"/>
      <c r="B4" s="787"/>
      <c r="C4" s="787"/>
      <c r="D4" s="787"/>
      <c r="E4" s="787"/>
      <c r="F4" s="787"/>
      <c r="G4" s="787"/>
      <c r="H4" s="393"/>
    </row>
    <row r="5" spans="1:8">
      <c r="E5" s="2"/>
      <c r="F5" s="3"/>
      <c r="G5" s="4"/>
      <c r="H5" s="5"/>
    </row>
    <row r="6" spans="1:8" ht="12" thickBot="1">
      <c r="B6" s="6" t="s">
        <v>179</v>
      </c>
      <c r="C6" s="7"/>
      <c r="D6" s="7"/>
      <c r="E6" s="8"/>
      <c r="F6" s="9"/>
    </row>
    <row r="7" spans="1:8">
      <c r="B7" s="338" t="s">
        <v>180</v>
      </c>
      <c r="C7" s="11"/>
      <c r="D7" s="12"/>
      <c r="E7" s="219">
        <v>7</v>
      </c>
      <c r="F7" s="13" t="s">
        <v>466</v>
      </c>
      <c r="G7" s="14"/>
    </row>
    <row r="8" spans="1:8">
      <c r="B8" s="339" t="s">
        <v>182</v>
      </c>
      <c r="C8" s="16"/>
      <c r="D8" s="17"/>
      <c r="E8" s="21">
        <v>12</v>
      </c>
      <c r="F8" s="19" t="s">
        <v>183</v>
      </c>
      <c r="G8" s="23"/>
    </row>
    <row r="9" spans="1:8" ht="13.2">
      <c r="B9" s="339" t="s">
        <v>184</v>
      </c>
      <c r="C9" s="16"/>
      <c r="D9" s="17"/>
      <c r="E9" s="18">
        <v>26.08</v>
      </c>
      <c r="F9" s="19" t="s">
        <v>185</v>
      </c>
      <c r="G9" s="20"/>
    </row>
    <row r="10" spans="1:8" hidden="1">
      <c r="B10" s="15" t="s">
        <v>467</v>
      </c>
      <c r="C10" s="16"/>
      <c r="D10" s="17"/>
      <c r="E10" s="18">
        <v>0</v>
      </c>
      <c r="F10" s="340" t="s">
        <v>186</v>
      </c>
      <c r="G10" s="23"/>
    </row>
    <row r="11" spans="1:8" ht="12" thickBot="1">
      <c r="B11" s="15" t="s">
        <v>468</v>
      </c>
      <c r="C11" s="16"/>
      <c r="D11" s="17"/>
      <c r="E11" s="256">
        <v>5000</v>
      </c>
      <c r="F11" s="340" t="s">
        <v>186</v>
      </c>
      <c r="G11" s="23"/>
    </row>
    <row r="12" spans="1:8">
      <c r="B12" s="30"/>
      <c r="C12" s="30"/>
      <c r="D12" s="30"/>
      <c r="E12" s="30"/>
      <c r="F12" s="30"/>
      <c r="G12" s="31"/>
    </row>
    <row r="13" spans="1:8" ht="13.8" hidden="1">
      <c r="A13" s="757" t="s">
        <v>187</v>
      </c>
      <c r="B13" s="758"/>
      <c r="C13" s="758"/>
      <c r="D13" s="758"/>
      <c r="E13" s="758"/>
      <c r="F13" s="758"/>
      <c r="G13" s="758"/>
      <c r="H13" s="758"/>
    </row>
    <row r="14" spans="1:8" hidden="1">
      <c r="A14" s="3"/>
    </row>
    <row r="15" spans="1:8" hidden="1">
      <c r="A15" s="32"/>
      <c r="B15" s="759" t="s">
        <v>492</v>
      </c>
      <c r="C15" s="760"/>
      <c r="D15" s="760"/>
      <c r="E15" s="761"/>
    </row>
    <row r="16" spans="1:8" hidden="1">
      <c r="A16" s="3"/>
    </row>
    <row r="17" spans="2:15" hidden="1">
      <c r="B17" s="338" t="s">
        <v>469</v>
      </c>
      <c r="C17" s="11"/>
      <c r="D17" s="12"/>
      <c r="E17" s="33"/>
      <c r="F17" s="13"/>
      <c r="G17" s="14"/>
      <c r="H17" s="34"/>
    </row>
    <row r="18" spans="2:15" ht="12.75" hidden="1" customHeight="1">
      <c r="B18" s="86"/>
      <c r="C18" s="764" t="s">
        <v>188</v>
      </c>
      <c r="D18" s="765"/>
      <c r="E18" s="21"/>
      <c r="F18" s="19" t="s">
        <v>189</v>
      </c>
      <c r="G18" s="23"/>
      <c r="H18" s="220"/>
    </row>
    <row r="19" spans="2:15" ht="13.2" hidden="1">
      <c r="B19" s="15"/>
      <c r="C19" s="764" t="s">
        <v>190</v>
      </c>
      <c r="D19" s="765"/>
      <c r="E19" s="21">
        <v>1</v>
      </c>
      <c r="F19" s="19" t="s">
        <v>470</v>
      </c>
      <c r="G19" s="20"/>
      <c r="H19" s="220"/>
    </row>
    <row r="20" spans="2:15" ht="12.75" hidden="1" customHeight="1">
      <c r="B20" s="15"/>
      <c r="C20" s="788" t="s">
        <v>192</v>
      </c>
      <c r="D20" s="789"/>
      <c r="E20" s="21">
        <v>1</v>
      </c>
      <c r="F20" s="340" t="s">
        <v>193</v>
      </c>
      <c r="G20" s="23"/>
      <c r="H20" s="36"/>
    </row>
    <row r="21" spans="2:15" ht="12" hidden="1" thickBot="1">
      <c r="B21" s="24"/>
      <c r="C21" s="16"/>
      <c r="D21" s="19"/>
      <c r="E21" s="221"/>
      <c r="F21" s="22"/>
      <c r="G21" s="35"/>
      <c r="H21" s="36"/>
    </row>
    <row r="22" spans="2:15" hidden="1">
      <c r="B22" s="339" t="s">
        <v>194</v>
      </c>
      <c r="C22" s="11"/>
      <c r="D22" s="12"/>
      <c r="E22" s="33" t="s">
        <v>195</v>
      </c>
      <c r="F22" s="33"/>
      <c r="G22" s="14"/>
      <c r="H22" s="40"/>
    </row>
    <row r="23" spans="2:15" hidden="1">
      <c r="B23" s="15"/>
      <c r="C23" s="37" t="s">
        <v>196</v>
      </c>
      <c r="D23" s="38">
        <v>1</v>
      </c>
      <c r="E23" s="39">
        <f>D23*E20</f>
        <v>1</v>
      </c>
      <c r="F23" s="19" t="s">
        <v>197</v>
      </c>
      <c r="G23" s="23"/>
      <c r="H23" s="40"/>
    </row>
    <row r="24" spans="2:15" ht="13.2" hidden="1">
      <c r="B24" s="15"/>
      <c r="C24" s="37" t="s">
        <v>198</v>
      </c>
      <c r="D24" s="41">
        <v>0</v>
      </c>
      <c r="E24" s="39">
        <f>D24*E20</f>
        <v>0</v>
      </c>
      <c r="F24" s="19" t="s">
        <v>197</v>
      </c>
      <c r="G24" s="20"/>
      <c r="H24" s="40"/>
    </row>
    <row r="25" spans="2:15" ht="13.2" hidden="1">
      <c r="B25" s="15"/>
      <c r="C25" s="37" t="s">
        <v>471</v>
      </c>
      <c r="D25" s="222">
        <v>0</v>
      </c>
      <c r="E25" s="39">
        <v>0</v>
      </c>
      <c r="F25" s="19" t="s">
        <v>197</v>
      </c>
      <c r="G25" s="20"/>
      <c r="H25" s="40"/>
    </row>
    <row r="26" spans="2:15" ht="12" hidden="1" thickBot="1">
      <c r="B26" s="24"/>
      <c r="C26" s="25"/>
      <c r="D26" s="26"/>
      <c r="E26" s="223"/>
      <c r="F26" s="28"/>
      <c r="G26" s="29"/>
      <c r="H26" s="42"/>
      <c r="I26" s="226"/>
    </row>
    <row r="27" spans="2:15" hidden="1">
      <c r="B27" s="43" t="s">
        <v>200</v>
      </c>
      <c r="C27" s="11"/>
      <c r="D27" s="12"/>
      <c r="E27" s="33"/>
      <c r="F27" s="44"/>
      <c r="G27" s="14"/>
      <c r="H27" s="42"/>
      <c r="I27" s="226"/>
    </row>
    <row r="28" spans="2:15" ht="11.25" hidden="1" customHeight="1">
      <c r="B28" s="775"/>
      <c r="C28" s="16"/>
      <c r="D28" s="17" t="s">
        <v>201</v>
      </c>
      <c r="E28" s="45" t="s">
        <v>202</v>
      </c>
      <c r="F28" s="45" t="s">
        <v>203</v>
      </c>
      <c r="G28" s="23"/>
      <c r="H28" s="42"/>
      <c r="I28" s="226"/>
      <c r="O28" s="52" t="s">
        <v>472</v>
      </c>
    </row>
    <row r="29" spans="2:15" ht="12.75" hidden="1" customHeight="1">
      <c r="B29" s="775"/>
      <c r="C29" s="16"/>
      <c r="D29" s="37" t="s">
        <v>215</v>
      </c>
      <c r="E29" s="46">
        <v>1</v>
      </c>
      <c r="F29" s="46">
        <v>0</v>
      </c>
      <c r="G29" s="23"/>
      <c r="H29" s="42"/>
      <c r="I29" s="226"/>
    </row>
    <row r="30" spans="2:15" ht="12.75" hidden="1" customHeight="1">
      <c r="B30" s="775"/>
      <c r="C30" s="16"/>
      <c r="D30" s="37" t="s">
        <v>216</v>
      </c>
      <c r="E30" s="46">
        <f>ROUND(E24,0)</f>
        <v>0</v>
      </c>
      <c r="F30" s="46">
        <v>0</v>
      </c>
      <c r="G30" s="23"/>
      <c r="H30" s="42"/>
      <c r="I30" s="226"/>
    </row>
    <row r="31" spans="2:15" ht="13.2" hidden="1">
      <c r="B31" s="775"/>
      <c r="C31" s="16"/>
      <c r="D31" s="37" t="s">
        <v>206</v>
      </c>
      <c r="E31" s="46">
        <f>ROUND(E25,0)</f>
        <v>0</v>
      </c>
      <c r="F31" s="46" t="s">
        <v>166</v>
      </c>
      <c r="G31" s="20"/>
      <c r="H31" s="42"/>
      <c r="I31" s="226"/>
    </row>
    <row r="32" spans="2:15" ht="13.8" hidden="1" thickBot="1">
      <c r="B32" s="775"/>
      <c r="C32" s="16"/>
      <c r="D32" s="47" t="s">
        <v>461</v>
      </c>
      <c r="E32" s="21">
        <f>SUM(E29:E31)</f>
        <v>1</v>
      </c>
      <c r="F32" s="21">
        <f>SUM(F29:F31)</f>
        <v>0</v>
      </c>
      <c r="G32" s="20"/>
      <c r="H32" s="42"/>
      <c r="I32" s="226"/>
    </row>
    <row r="33" spans="1:9" ht="13.8" hidden="1" thickBot="1">
      <c r="B33" s="776"/>
      <c r="C33" s="25"/>
      <c r="D33" s="48"/>
      <c r="E33" s="48"/>
      <c r="F33" s="48"/>
      <c r="G33" s="49"/>
      <c r="H33" s="42"/>
      <c r="I33" s="226"/>
    </row>
    <row r="34" spans="1:9" hidden="1">
      <c r="C34" s="50"/>
      <c r="D34" s="42"/>
    </row>
    <row r="35" spans="1:9" ht="13.8">
      <c r="A35" s="757" t="s">
        <v>208</v>
      </c>
      <c r="B35" s="758"/>
      <c r="C35" s="758"/>
      <c r="D35" s="758"/>
      <c r="E35" s="758"/>
      <c r="F35" s="758"/>
      <c r="G35" s="758"/>
      <c r="H35" s="758"/>
    </row>
    <row r="37" spans="1:9">
      <c r="B37" s="34"/>
      <c r="C37" s="51"/>
    </row>
    <row r="38" spans="1:9">
      <c r="A38" s="52"/>
      <c r="B38" s="759" t="s">
        <v>522</v>
      </c>
      <c r="C38" s="760"/>
      <c r="D38" s="760"/>
      <c r="E38" s="760"/>
      <c r="F38" s="760"/>
      <c r="G38" s="761"/>
    </row>
    <row r="39" spans="1:9">
      <c r="A39" s="52"/>
      <c r="B39" s="53" t="s">
        <v>56</v>
      </c>
      <c r="C39" s="53">
        <v>4</v>
      </c>
      <c r="D39" s="52"/>
      <c r="E39" s="52"/>
      <c r="F39" s="52"/>
      <c r="G39" s="52"/>
    </row>
    <row r="40" spans="1:9">
      <c r="A40" s="52"/>
      <c r="B40" s="53" t="s">
        <v>553</v>
      </c>
      <c r="C40" s="53">
        <v>8</v>
      </c>
      <c r="D40" s="52"/>
      <c r="E40" s="52"/>
      <c r="F40" s="3"/>
      <c r="G40" s="3"/>
    </row>
    <row r="41" spans="1:9">
      <c r="A41" s="52"/>
      <c r="B41" s="53" t="s">
        <v>552</v>
      </c>
      <c r="C41" s="53">
        <v>21</v>
      </c>
      <c r="D41" s="52"/>
      <c r="E41" s="52"/>
      <c r="F41" s="3"/>
      <c r="G41" s="3"/>
    </row>
    <row r="42" spans="1:9" ht="12" thickBot="1"/>
    <row r="43" spans="1:9">
      <c r="B43" s="54"/>
      <c r="C43" s="13"/>
      <c r="D43" s="12"/>
      <c r="E43" s="13"/>
      <c r="F43" s="13"/>
      <c r="G43" s="14"/>
      <c r="H43" s="34"/>
    </row>
    <row r="44" spans="1:9" hidden="1">
      <c r="B44" s="55"/>
      <c r="C44" s="56"/>
      <c r="D44" s="17" t="s">
        <v>473</v>
      </c>
      <c r="E44" s="224">
        <v>0</v>
      </c>
      <c r="F44" s="19"/>
      <c r="G44" s="23"/>
      <c r="H44" s="34"/>
    </row>
    <row r="45" spans="1:9" ht="12" hidden="1" thickBot="1">
      <c r="B45" s="55"/>
      <c r="C45" s="356" t="s">
        <v>474</v>
      </c>
      <c r="D45" s="60" t="s">
        <v>209</v>
      </c>
      <c r="E45" s="224">
        <f>C37*(E29*C40)</f>
        <v>0</v>
      </c>
      <c r="F45" s="19"/>
      <c r="G45" s="23"/>
      <c r="H45" s="34"/>
    </row>
    <row r="46" spans="1:9">
      <c r="B46" s="61"/>
      <c r="C46" s="342" t="s">
        <v>475</v>
      </c>
      <c r="D46" s="57" t="s">
        <v>56</v>
      </c>
      <c r="E46" s="21">
        <f>C39</f>
        <v>4</v>
      </c>
      <c r="F46" s="19"/>
      <c r="G46" s="23"/>
      <c r="H46" s="40"/>
    </row>
    <row r="47" spans="1:9" ht="12" thickBot="1">
      <c r="B47" s="61"/>
      <c r="C47" s="59"/>
      <c r="D47" s="60" t="s">
        <v>209</v>
      </c>
      <c r="E47" s="21">
        <f>C40</f>
        <v>8</v>
      </c>
      <c r="F47" s="19"/>
      <c r="G47" s="23"/>
      <c r="H47" s="40"/>
    </row>
    <row r="48" spans="1:9">
      <c r="B48" s="15"/>
      <c r="C48" s="342" t="s">
        <v>217</v>
      </c>
      <c r="D48" s="17" t="s">
        <v>56</v>
      </c>
      <c r="E48" s="21">
        <f>E46</f>
        <v>4</v>
      </c>
      <c r="F48" s="19"/>
      <c r="G48" s="23"/>
      <c r="H48" s="40"/>
    </row>
    <row r="49" spans="1:9">
      <c r="B49" s="15"/>
      <c r="C49" s="117" t="s">
        <v>218</v>
      </c>
      <c r="D49" s="17" t="s">
        <v>209</v>
      </c>
      <c r="E49" s="21">
        <f>E47</f>
        <v>8</v>
      </c>
      <c r="F49" s="19"/>
      <c r="G49" s="35"/>
    </row>
    <row r="50" spans="1:9" ht="12" thickBot="1">
      <c r="B50" s="24"/>
      <c r="C50" s="25"/>
      <c r="D50" s="26"/>
      <c r="E50" s="28"/>
      <c r="F50" s="28"/>
      <c r="G50" s="29"/>
      <c r="H50" s="62"/>
    </row>
    <row r="51" spans="1:9">
      <c r="C51" s="63"/>
      <c r="D51" s="64"/>
      <c r="F51" s="65"/>
      <c r="G51" s="63"/>
      <c r="H51" s="34"/>
    </row>
    <row r="52" spans="1:9" ht="13.8">
      <c r="A52" s="757" t="s">
        <v>220</v>
      </c>
      <c r="B52" s="758"/>
      <c r="C52" s="758"/>
      <c r="D52" s="758"/>
      <c r="E52" s="758"/>
      <c r="F52" s="758"/>
      <c r="G52" s="758"/>
      <c r="H52" s="758"/>
    </row>
    <row r="54" spans="1:9">
      <c r="A54" s="767"/>
      <c r="B54" s="767"/>
      <c r="C54" s="767"/>
      <c r="D54" s="767"/>
      <c r="E54" s="767"/>
      <c r="F54" s="767"/>
      <c r="G54" s="767"/>
      <c r="H54" s="767"/>
    </row>
    <row r="55" spans="1:9" ht="12" thickBot="1"/>
    <row r="56" spans="1:9">
      <c r="B56" s="343" t="s">
        <v>222</v>
      </c>
      <c r="C56" s="67" t="s">
        <v>223</v>
      </c>
      <c r="D56" s="67" t="s">
        <v>224</v>
      </c>
      <c r="E56" s="68" t="s">
        <v>225</v>
      </c>
      <c r="F56" s="13"/>
      <c r="G56" s="14"/>
    </row>
    <row r="57" spans="1:9">
      <c r="B57" s="69" t="s">
        <v>56</v>
      </c>
      <c r="C57" s="70">
        <f>C39</f>
        <v>4</v>
      </c>
      <c r="D57" s="71">
        <f>'01-Coleta domiciliar'!D70</f>
        <v>2500</v>
      </c>
      <c r="E57" s="72">
        <f>+D57*C57</f>
        <v>10000</v>
      </c>
      <c r="F57" s="19"/>
      <c r="G57" s="23"/>
      <c r="H57" s="5"/>
    </row>
    <row r="58" spans="1:9">
      <c r="B58" s="69" t="s">
        <v>553</v>
      </c>
      <c r="C58" s="70">
        <f t="shared" ref="C58:C59" si="0">C40</f>
        <v>8</v>
      </c>
      <c r="D58" s="71">
        <f>'01-Coleta domiciliar'!D71</f>
        <v>1533.63</v>
      </c>
      <c r="E58" s="72">
        <f>+D58*C58</f>
        <v>12269.04</v>
      </c>
      <c r="F58" s="19"/>
      <c r="G58" s="23"/>
    </row>
    <row r="59" spans="1:9">
      <c r="B59" s="69" t="s">
        <v>552</v>
      </c>
      <c r="C59" s="70">
        <f t="shared" si="0"/>
        <v>21</v>
      </c>
      <c r="D59" s="225">
        <v>1570.44</v>
      </c>
      <c r="E59" s="72">
        <f>+D59*C59</f>
        <v>32979.24</v>
      </c>
      <c r="F59" s="19"/>
      <c r="G59" s="23"/>
    </row>
    <row r="60" spans="1:9">
      <c r="B60" s="73"/>
      <c r="C60" s="74"/>
      <c r="D60" s="75" t="s">
        <v>228</v>
      </c>
      <c r="E60" s="76">
        <f>SUM(E57:E59)</f>
        <v>55248.28</v>
      </c>
      <c r="F60" s="77" t="s">
        <v>229</v>
      </c>
      <c r="G60" s="23"/>
    </row>
    <row r="61" spans="1:9">
      <c r="B61" s="78"/>
      <c r="C61" s="79"/>
      <c r="D61" s="19"/>
      <c r="E61" s="80"/>
      <c r="F61" s="80"/>
      <c r="G61" s="23"/>
    </row>
    <row r="62" spans="1:9">
      <c r="B62" s="81" t="s">
        <v>230</v>
      </c>
      <c r="C62" s="82" t="s">
        <v>223</v>
      </c>
      <c r="D62" s="83" t="s">
        <v>224</v>
      </c>
      <c r="E62" s="83" t="s">
        <v>225</v>
      </c>
      <c r="F62" s="19"/>
      <c r="G62" s="23"/>
    </row>
    <row r="63" spans="1:9">
      <c r="B63" s="69" t="s">
        <v>56</v>
      </c>
      <c r="C63" s="70">
        <f>E46</f>
        <v>4</v>
      </c>
      <c r="D63" s="71">
        <f>'01-Coleta domiciliar'!D76</f>
        <v>568</v>
      </c>
      <c r="E63" s="72">
        <f>+D63*C63</f>
        <v>2272</v>
      </c>
      <c r="F63" s="19"/>
      <c r="G63" s="23"/>
    </row>
    <row r="64" spans="1:9">
      <c r="B64" s="69" t="s">
        <v>553</v>
      </c>
      <c r="C64" s="70">
        <f>E47</f>
        <v>8</v>
      </c>
      <c r="D64" s="71">
        <f>'01-Coleta domiciliar'!D77</f>
        <v>568</v>
      </c>
      <c r="E64" s="72">
        <f>+D64*C64</f>
        <v>4544</v>
      </c>
      <c r="F64" s="19"/>
      <c r="G64" s="23"/>
      <c r="I64" s="226"/>
    </row>
    <row r="65" spans="2:9">
      <c r="B65" s="69" t="s">
        <v>552</v>
      </c>
      <c r="C65" s="70">
        <f>C59</f>
        <v>21</v>
      </c>
      <c r="D65" s="71">
        <f>D64</f>
        <v>568</v>
      </c>
      <c r="E65" s="72">
        <f>+D65*C65</f>
        <v>11928</v>
      </c>
      <c r="F65" s="19"/>
      <c r="G65" s="23"/>
      <c r="I65" s="226"/>
    </row>
    <row r="66" spans="2:9">
      <c r="B66" s="73"/>
      <c r="C66" s="74"/>
      <c r="D66" s="75" t="s">
        <v>231</v>
      </c>
      <c r="E66" s="76">
        <f>SUM(E63:E65)</f>
        <v>18744</v>
      </c>
      <c r="F66" s="77" t="s">
        <v>229</v>
      </c>
      <c r="G66" s="23"/>
    </row>
    <row r="67" spans="2:9">
      <c r="B67" s="78"/>
      <c r="C67" s="79"/>
      <c r="D67" s="74"/>
      <c r="E67" s="80"/>
      <c r="F67" s="80"/>
      <c r="G67" s="23"/>
    </row>
    <row r="68" spans="2:9" ht="12.6" hidden="1" customHeight="1">
      <c r="B68" s="81" t="s">
        <v>257</v>
      </c>
      <c r="C68" s="82" t="s">
        <v>223</v>
      </c>
      <c r="D68" s="82" t="s">
        <v>224</v>
      </c>
      <c r="E68" s="94" t="s">
        <v>225</v>
      </c>
      <c r="F68" s="19"/>
      <c r="G68" s="23"/>
    </row>
    <row r="69" spans="2:9" hidden="1">
      <c r="B69" s="69" t="s">
        <v>56</v>
      </c>
      <c r="C69" s="70">
        <f>E46</f>
        <v>4</v>
      </c>
      <c r="D69" s="71">
        <v>0</v>
      </c>
      <c r="E69" s="72">
        <f>D69*C69</f>
        <v>0</v>
      </c>
      <c r="F69" s="19"/>
      <c r="G69" s="23"/>
    </row>
    <row r="70" spans="2:9" hidden="1">
      <c r="B70" s="69" t="s">
        <v>226</v>
      </c>
      <c r="C70" s="70">
        <f>E47</f>
        <v>8</v>
      </c>
      <c r="D70" s="71">
        <v>0</v>
      </c>
      <c r="E70" s="72">
        <f>D70*C70</f>
        <v>0</v>
      </c>
      <c r="F70" s="19"/>
      <c r="G70" s="23"/>
    </row>
    <row r="71" spans="2:9" hidden="1">
      <c r="B71" s="73"/>
      <c r="C71" s="74"/>
      <c r="D71" s="75" t="s">
        <v>235</v>
      </c>
      <c r="E71" s="172">
        <f>SUM(E69:E70)</f>
        <v>0</v>
      </c>
      <c r="F71" s="77" t="s">
        <v>229</v>
      </c>
      <c r="G71" s="23"/>
    </row>
    <row r="72" spans="2:9" hidden="1">
      <c r="B72" s="78"/>
      <c r="C72" s="79"/>
      <c r="D72" s="74"/>
      <c r="E72" s="80"/>
      <c r="F72" s="80"/>
      <c r="G72" s="23"/>
    </row>
    <row r="73" spans="2:9" hidden="1">
      <c r="B73" s="81" t="s">
        <v>476</v>
      </c>
      <c r="C73" s="768" t="s">
        <v>233</v>
      </c>
      <c r="D73" s="769"/>
      <c r="E73" s="83">
        <f>2*E9</f>
        <v>52.16</v>
      </c>
      <c r="F73" s="19"/>
      <c r="G73" s="23"/>
      <c r="H73" s="34"/>
    </row>
    <row r="74" spans="2:9" hidden="1">
      <c r="B74" s="81"/>
      <c r="C74" s="768" t="s">
        <v>477</v>
      </c>
      <c r="D74" s="769"/>
      <c r="E74" s="83">
        <f>1.5*E9</f>
        <v>39.119999999999997</v>
      </c>
      <c r="F74" s="19"/>
      <c r="G74" s="23"/>
      <c r="H74" s="34"/>
    </row>
    <row r="75" spans="2:9" hidden="1">
      <c r="B75" s="81"/>
      <c r="C75" s="82" t="s">
        <v>223</v>
      </c>
      <c r="D75" s="83" t="s">
        <v>224</v>
      </c>
      <c r="E75" s="83" t="s">
        <v>225</v>
      </c>
      <c r="F75" s="19"/>
      <c r="G75" s="23"/>
      <c r="H75" s="34"/>
    </row>
    <row r="76" spans="2:9" hidden="1">
      <c r="B76" s="69" t="s">
        <v>56</v>
      </c>
      <c r="C76" s="70">
        <v>0</v>
      </c>
      <c r="D76" s="227">
        <f>((('DADOS DE ENTRADA'!B23+D63)/'DADOS DE ENTRADA'!B9)*'DADOS DE ENTRADA'!B30)*E73</f>
        <v>1094.3286545454546</v>
      </c>
      <c r="E76" s="72">
        <f>ROUND(+D76*C76,2)</f>
        <v>0</v>
      </c>
      <c r="F76" s="19"/>
      <c r="G76" s="23"/>
      <c r="H76" s="34"/>
    </row>
    <row r="77" spans="2:9" hidden="1">
      <c r="B77" s="69" t="s">
        <v>226</v>
      </c>
      <c r="C77" s="70">
        <v>0</v>
      </c>
      <c r="D77" s="71">
        <f>((('DADOS DE ENTRADA'!B14+D64)/'DADOS DE ENTRADA'!B9)*'DADOS DE ENTRADA'!B30)*E74</f>
        <v>477.34046181818172</v>
      </c>
      <c r="E77" s="72">
        <f>+D77*C77</f>
        <v>0</v>
      </c>
      <c r="F77" s="19"/>
      <c r="G77" s="23"/>
    </row>
    <row r="78" spans="2:9" hidden="1">
      <c r="B78" s="73"/>
      <c r="C78" s="74"/>
      <c r="D78" s="75" t="s">
        <v>239</v>
      </c>
      <c r="E78" s="76">
        <f>ROUND(SUM(E76:E77),2)</f>
        <v>0</v>
      </c>
      <c r="F78" s="77" t="s">
        <v>229</v>
      </c>
      <c r="G78" s="23"/>
    </row>
    <row r="79" spans="2:9" hidden="1">
      <c r="B79" s="78"/>
      <c r="C79" s="84"/>
      <c r="D79" s="74"/>
      <c r="E79" s="80"/>
      <c r="F79" s="85"/>
      <c r="G79" s="23"/>
    </row>
    <row r="80" spans="2:9" hidden="1">
      <c r="B80" s="81" t="s">
        <v>243</v>
      </c>
      <c r="C80" s="768" t="s">
        <v>478</v>
      </c>
      <c r="D80" s="769"/>
      <c r="E80" s="109">
        <f>4.33+1.08</f>
        <v>5.41</v>
      </c>
      <c r="F80" s="19"/>
      <c r="G80" s="23"/>
    </row>
    <row r="81" spans="1:8" hidden="1">
      <c r="B81" s="81"/>
      <c r="C81" s="768" t="s">
        <v>5</v>
      </c>
      <c r="D81" s="769"/>
      <c r="E81" s="83">
        <f>'DADOS DE ENTRADA'!B5</f>
        <v>26.09</v>
      </c>
      <c r="F81" s="19"/>
      <c r="G81" s="23"/>
    </row>
    <row r="82" spans="1:8" hidden="1">
      <c r="B82" s="81"/>
      <c r="C82" s="82" t="s">
        <v>223</v>
      </c>
      <c r="D82" s="83" t="s">
        <v>224</v>
      </c>
      <c r="E82" s="83" t="s">
        <v>225</v>
      </c>
      <c r="F82" s="19"/>
      <c r="G82" s="23"/>
    </row>
    <row r="83" spans="1:8" hidden="1">
      <c r="B83" s="69" t="s">
        <v>56</v>
      </c>
      <c r="C83" s="70">
        <v>0</v>
      </c>
      <c r="D83" s="227">
        <f>(D76/$E$81)*$E$80</f>
        <v>226.91905025262204</v>
      </c>
      <c r="E83" s="72">
        <f>ROUND(+D83*C83,2)</f>
        <v>0</v>
      </c>
      <c r="F83" s="19"/>
      <c r="G83" s="23"/>
    </row>
    <row r="84" spans="1:8" hidden="1">
      <c r="B84" s="69" t="s">
        <v>226</v>
      </c>
      <c r="C84" s="70">
        <v>0</v>
      </c>
      <c r="D84" s="227">
        <f>(D77/$E$81)*$E$80</f>
        <v>98.980908334088269</v>
      </c>
      <c r="E84" s="72">
        <f>+D84*C84</f>
        <v>0</v>
      </c>
      <c r="F84" s="19"/>
      <c r="G84" s="23"/>
    </row>
    <row r="85" spans="1:8" hidden="1">
      <c r="B85" s="73"/>
      <c r="C85" s="74"/>
      <c r="D85" s="75" t="s">
        <v>245</v>
      </c>
      <c r="E85" s="76">
        <f>ROUND(SUM(E83:E84),2)</f>
        <v>0</v>
      </c>
      <c r="F85" s="77" t="s">
        <v>229</v>
      </c>
      <c r="G85" s="23"/>
    </row>
    <row r="86" spans="1:8" hidden="1">
      <c r="B86" s="78"/>
      <c r="C86" s="84"/>
      <c r="D86" s="74"/>
      <c r="E86" s="80"/>
      <c r="F86" s="85"/>
      <c r="G86" s="23"/>
    </row>
    <row r="87" spans="1:8">
      <c r="B87" s="86"/>
      <c r="C87" s="19"/>
      <c r="D87" s="344" t="s">
        <v>246</v>
      </c>
      <c r="E87" s="76">
        <f>ROUND(+E71+E66+E60+E78+E85,2)</f>
        <v>73992.28</v>
      </c>
      <c r="F87" s="77" t="s">
        <v>229</v>
      </c>
      <c r="G87" s="23"/>
    </row>
    <row r="88" spans="1:8">
      <c r="B88" s="78"/>
      <c r="C88" s="19"/>
      <c r="D88" s="19"/>
      <c r="E88" s="80"/>
      <c r="F88" s="80"/>
      <c r="G88" s="23"/>
    </row>
    <row r="89" spans="1:8">
      <c r="B89" s="345" t="s">
        <v>247</v>
      </c>
      <c r="C89" s="82" t="s">
        <v>223</v>
      </c>
      <c r="D89" s="83" t="s">
        <v>224</v>
      </c>
      <c r="E89" s="83" t="s">
        <v>225</v>
      </c>
      <c r="F89" s="19"/>
      <c r="G89" s="23"/>
    </row>
    <row r="90" spans="1:8">
      <c r="B90" s="346" t="s">
        <v>248</v>
      </c>
      <c r="C90" s="88">
        <v>0.95</v>
      </c>
      <c r="D90" s="89">
        <f>E87*C90</f>
        <v>70292.665999999997</v>
      </c>
      <c r="E90" s="72">
        <f>ROUND(+D90,2)</f>
        <v>70292.67</v>
      </c>
      <c r="F90" s="19"/>
      <c r="G90" s="23"/>
    </row>
    <row r="91" spans="1:8">
      <c r="B91" s="73"/>
      <c r="C91" s="79"/>
      <c r="D91" s="75" t="s">
        <v>249</v>
      </c>
      <c r="E91" s="76">
        <f>ROUND(SUM(E90),2)</f>
        <v>70292.67</v>
      </c>
      <c r="F91" s="77" t="s">
        <v>229</v>
      </c>
      <c r="G91" s="23"/>
      <c r="H91" s="90"/>
    </row>
    <row r="92" spans="1:8">
      <c r="B92" s="78"/>
      <c r="C92" s="19"/>
      <c r="D92" s="19"/>
      <c r="E92" s="80"/>
      <c r="F92" s="80"/>
      <c r="G92" s="23"/>
    </row>
    <row r="93" spans="1:8">
      <c r="B93" s="86"/>
      <c r="C93" s="19"/>
      <c r="D93" s="344" t="s">
        <v>250</v>
      </c>
      <c r="E93" s="76">
        <f>ROUND(+E91+E87,2)</f>
        <v>144284.95000000001</v>
      </c>
      <c r="F93" s="77" t="s">
        <v>229</v>
      </c>
      <c r="G93" s="23"/>
      <c r="H93" s="34"/>
    </row>
    <row r="94" spans="1:8" ht="12" customHeight="1">
      <c r="B94" s="86"/>
      <c r="C94" s="19"/>
      <c r="D94" s="19"/>
      <c r="E94" s="85"/>
      <c r="F94" s="19"/>
      <c r="G94" s="23"/>
      <c r="H94" s="34"/>
    </row>
    <row r="95" spans="1:8">
      <c r="A95" s="91"/>
      <c r="B95" s="345" t="s">
        <v>550</v>
      </c>
      <c r="C95" s="768"/>
      <c r="D95" s="769"/>
      <c r="E95" s="83"/>
      <c r="F95" s="19"/>
      <c r="G95" s="92"/>
    </row>
    <row r="96" spans="1:8">
      <c r="A96" s="91"/>
      <c r="B96" s="86"/>
      <c r="C96" s="82" t="s">
        <v>223</v>
      </c>
      <c r="D96" s="83" t="s">
        <v>224</v>
      </c>
      <c r="E96" s="83" t="s">
        <v>225</v>
      </c>
      <c r="F96" s="19"/>
      <c r="G96" s="92"/>
    </row>
    <row r="97" spans="1:8">
      <c r="B97" s="69" t="s">
        <v>56</v>
      </c>
      <c r="C97" s="70">
        <f>C63</f>
        <v>4</v>
      </c>
      <c r="D97" s="71">
        <f>'01-Coleta domiciliar'!D123</f>
        <v>238.99200000000002</v>
      </c>
      <c r="E97" s="72">
        <f>+D97*C97</f>
        <v>955.96800000000007</v>
      </c>
      <c r="F97" s="19"/>
      <c r="G97" s="92"/>
    </row>
    <row r="98" spans="1:8">
      <c r="B98" s="69" t="s">
        <v>553</v>
      </c>
      <c r="C98" s="70">
        <f t="shared" ref="C98:C99" si="1">C64</f>
        <v>8</v>
      </c>
      <c r="D98" s="71">
        <f>'01-Coleta domiciliar'!D124</f>
        <v>244.79022000000003</v>
      </c>
      <c r="E98" s="72">
        <f>+D98*C98</f>
        <v>1958.3217600000003</v>
      </c>
      <c r="F98" s="19"/>
      <c r="G98" s="92"/>
    </row>
    <row r="99" spans="1:8">
      <c r="B99" s="69" t="s">
        <v>552</v>
      </c>
      <c r="C99" s="70">
        <f t="shared" si="1"/>
        <v>21</v>
      </c>
      <c r="D99" s="225">
        <f>4.95*52-0.006*(D59+D65)</f>
        <v>244.56936000000005</v>
      </c>
      <c r="E99" s="72">
        <f>+D99*C99</f>
        <v>5135.9565600000005</v>
      </c>
      <c r="F99" s="19"/>
      <c r="G99" s="92"/>
    </row>
    <row r="100" spans="1:8">
      <c r="A100" s="34"/>
      <c r="B100" s="73"/>
      <c r="C100" s="74"/>
      <c r="D100" s="75" t="s">
        <v>251</v>
      </c>
      <c r="E100" s="76">
        <f>SUM(E97:E99)</f>
        <v>8050.2463200000011</v>
      </c>
      <c r="F100" s="77" t="s">
        <v>229</v>
      </c>
      <c r="G100" s="92"/>
      <c r="H100" s="34"/>
    </row>
    <row r="101" spans="1:8">
      <c r="B101" s="78"/>
      <c r="C101" s="79"/>
      <c r="D101" s="74"/>
      <c r="E101" s="74"/>
      <c r="F101" s="93"/>
      <c r="G101" s="23"/>
      <c r="H101" s="34"/>
    </row>
    <row r="102" spans="1:8">
      <c r="B102" s="345" t="s">
        <v>479</v>
      </c>
      <c r="C102" s="82" t="s">
        <v>223</v>
      </c>
      <c r="D102" s="82" t="s">
        <v>224</v>
      </c>
      <c r="E102" s="94" t="s">
        <v>225</v>
      </c>
      <c r="F102" s="19"/>
      <c r="G102" s="92"/>
    </row>
    <row r="103" spans="1:8">
      <c r="B103" s="69" t="s">
        <v>56</v>
      </c>
      <c r="C103" s="70">
        <f>C97</f>
        <v>4</v>
      </c>
      <c r="D103" s="71">
        <f>'01-Coleta domiciliar'!D129</f>
        <v>904.68</v>
      </c>
      <c r="E103" s="72">
        <f>ROUND(+D103*C103,2)</f>
        <v>3618.72</v>
      </c>
      <c r="F103" s="19"/>
      <c r="G103" s="92"/>
    </row>
    <row r="104" spans="1:8">
      <c r="B104" s="69" t="s">
        <v>553</v>
      </c>
      <c r="C104" s="70">
        <f t="shared" ref="C104:C105" si="2">C98</f>
        <v>8</v>
      </c>
      <c r="D104" s="71">
        <f>D103</f>
        <v>904.68</v>
      </c>
      <c r="E104" s="72">
        <f>ROUND(+D104*C104,2)</f>
        <v>7237.44</v>
      </c>
      <c r="F104" s="19"/>
      <c r="G104" s="92"/>
    </row>
    <row r="105" spans="1:8">
      <c r="B105" s="69" t="s">
        <v>552</v>
      </c>
      <c r="C105" s="70">
        <f t="shared" si="2"/>
        <v>21</v>
      </c>
      <c r="D105" s="225">
        <f>D104</f>
        <v>904.68</v>
      </c>
      <c r="E105" s="72">
        <f>ROUND(+D105*C105,2)</f>
        <v>18998.28</v>
      </c>
      <c r="F105" s="19"/>
      <c r="G105" s="92"/>
    </row>
    <row r="106" spans="1:8">
      <c r="B106" s="73"/>
      <c r="C106" s="74"/>
      <c r="D106" s="75" t="s">
        <v>252</v>
      </c>
      <c r="E106" s="76">
        <f>SUM(E103:E105)</f>
        <v>29854.44</v>
      </c>
      <c r="F106" s="77" t="s">
        <v>229</v>
      </c>
      <c r="G106" s="92"/>
      <c r="H106" s="34"/>
    </row>
    <row r="107" spans="1:8">
      <c r="B107" s="78"/>
      <c r="C107" s="79"/>
      <c r="D107" s="74"/>
      <c r="E107" s="74"/>
      <c r="F107" s="93"/>
      <c r="G107" s="23"/>
    </row>
    <row r="108" spans="1:8">
      <c r="B108" s="345" t="s">
        <v>717</v>
      </c>
      <c r="C108" s="82" t="s">
        <v>223</v>
      </c>
      <c r="D108" s="82" t="s">
        <v>224</v>
      </c>
      <c r="E108" s="94" t="s">
        <v>225</v>
      </c>
      <c r="F108" s="19"/>
      <c r="G108" s="92"/>
    </row>
    <row r="109" spans="1:8">
      <c r="B109" s="69" t="s">
        <v>56</v>
      </c>
      <c r="C109" s="70">
        <f>C103</f>
        <v>4</v>
      </c>
      <c r="D109" s="71">
        <f>'01-Coleta domiciliar'!D135</f>
        <v>50.24</v>
      </c>
      <c r="E109" s="72">
        <f>+D109*C109</f>
        <v>200.96</v>
      </c>
      <c r="F109" s="19"/>
      <c r="G109" s="92"/>
    </row>
    <row r="110" spans="1:8">
      <c r="B110" s="69" t="s">
        <v>553</v>
      </c>
      <c r="C110" s="70">
        <f t="shared" ref="C110:C111" si="3">C104</f>
        <v>8</v>
      </c>
      <c r="D110" s="71">
        <f>'01-Coleta domiciliar'!D136</f>
        <v>50.24</v>
      </c>
      <c r="E110" s="72">
        <f>+D110*C110</f>
        <v>401.92</v>
      </c>
      <c r="F110" s="19"/>
      <c r="G110" s="92"/>
    </row>
    <row r="111" spans="1:8">
      <c r="B111" s="69" t="s">
        <v>552</v>
      </c>
      <c r="C111" s="70">
        <f t="shared" si="3"/>
        <v>21</v>
      </c>
      <c r="D111" s="225">
        <f>D110</f>
        <v>50.24</v>
      </c>
      <c r="E111" s="72">
        <f>+D111*C111</f>
        <v>1055.04</v>
      </c>
      <c r="F111" s="19"/>
      <c r="G111" s="92"/>
    </row>
    <row r="112" spans="1:8">
      <c r="B112" s="73"/>
      <c r="C112" s="74"/>
      <c r="D112" s="75" t="s">
        <v>253</v>
      </c>
      <c r="E112" s="76">
        <f>SUM(E109:E111)</f>
        <v>1657.92</v>
      </c>
      <c r="F112" s="77" t="s">
        <v>229</v>
      </c>
      <c r="G112" s="92"/>
      <c r="H112" s="34"/>
    </row>
    <row r="113" spans="1:8">
      <c r="B113" s="78"/>
      <c r="C113" s="79"/>
      <c r="D113" s="74"/>
      <c r="E113" s="74"/>
      <c r="F113" s="93"/>
      <c r="G113" s="23"/>
      <c r="H113" s="34"/>
    </row>
    <row r="114" spans="1:8">
      <c r="B114" s="95"/>
      <c r="C114" s="79"/>
      <c r="D114" s="84" t="s">
        <v>254</v>
      </c>
      <c r="E114" s="76">
        <f>+E106+E112+E100</f>
        <v>39562.606319999999</v>
      </c>
      <c r="F114" s="77" t="s">
        <v>229</v>
      </c>
      <c r="G114" s="92"/>
      <c r="H114" s="34"/>
    </row>
    <row r="115" spans="1:8">
      <c r="A115" s="34"/>
      <c r="B115" s="78"/>
      <c r="C115" s="79"/>
      <c r="D115" s="74"/>
      <c r="E115" s="74"/>
      <c r="F115" s="85"/>
      <c r="G115" s="23"/>
      <c r="H115" s="34"/>
    </row>
    <row r="116" spans="1:8">
      <c r="A116" s="34"/>
      <c r="B116" s="95"/>
      <c r="C116" s="79"/>
      <c r="D116" s="84" t="s">
        <v>523</v>
      </c>
      <c r="E116" s="76">
        <f>E93+E114</f>
        <v>183847.55632</v>
      </c>
      <c r="F116" s="77" t="s">
        <v>229</v>
      </c>
      <c r="G116" s="92"/>
      <c r="H116" s="34"/>
    </row>
    <row r="117" spans="1:8" ht="12" customHeight="1" thickBot="1">
      <c r="A117" s="34"/>
      <c r="B117" s="96"/>
      <c r="C117" s="97"/>
      <c r="D117" s="98"/>
      <c r="E117" s="98"/>
      <c r="F117" s="99"/>
      <c r="G117" s="29"/>
      <c r="H117" s="34"/>
    </row>
    <row r="118" spans="1:8" ht="12" customHeight="1" thickBot="1">
      <c r="A118" s="34"/>
      <c r="B118" s="95"/>
      <c r="C118" s="79"/>
      <c r="D118" s="74"/>
      <c r="E118" s="74"/>
      <c r="F118" s="85"/>
      <c r="G118" s="23"/>
      <c r="H118" s="34"/>
    </row>
    <row r="119" spans="1:8">
      <c r="B119" s="86"/>
      <c r="C119" s="128"/>
      <c r="D119" s="129"/>
      <c r="E119" s="129"/>
      <c r="F119" s="130"/>
      <c r="G119" s="23"/>
    </row>
    <row r="120" spans="1:8">
      <c r="B120" s="86"/>
      <c r="C120" s="347" t="s">
        <v>270</v>
      </c>
      <c r="D120" s="132"/>
      <c r="E120" s="76">
        <f>E116</f>
        <v>183847.55632</v>
      </c>
      <c r="F120" s="133" t="s">
        <v>229</v>
      </c>
      <c r="G120" s="92"/>
      <c r="H120" s="34"/>
    </row>
    <row r="121" spans="1:8" ht="11.25" customHeight="1">
      <c r="B121" s="86"/>
      <c r="C121" s="134" t="s">
        <v>271</v>
      </c>
      <c r="D121" s="132"/>
      <c r="E121" s="132"/>
      <c r="F121" s="135"/>
      <c r="G121" s="23"/>
    </row>
    <row r="122" spans="1:8">
      <c r="B122" s="86"/>
      <c r="C122" s="347" t="s">
        <v>272</v>
      </c>
      <c r="D122" s="132"/>
      <c r="E122" s="76">
        <f>+E120*E8</f>
        <v>2206170.6758400002</v>
      </c>
      <c r="F122" s="133" t="s">
        <v>229</v>
      </c>
      <c r="G122" s="23"/>
    </row>
    <row r="123" spans="1:8" ht="12" thickBot="1">
      <c r="B123" s="86"/>
      <c r="C123" s="136" t="s">
        <v>271</v>
      </c>
      <c r="D123" s="137"/>
      <c r="E123" s="137"/>
      <c r="F123" s="138"/>
      <c r="G123" s="92"/>
    </row>
    <row r="124" spans="1:8" ht="12" thickBot="1">
      <c r="B124" s="139"/>
      <c r="C124" s="48"/>
      <c r="D124" s="48"/>
      <c r="E124" s="48"/>
      <c r="F124" s="99"/>
      <c r="G124" s="215"/>
    </row>
    <row r="125" spans="1:8" ht="13.5" customHeight="1">
      <c r="B125" s="3"/>
      <c r="F125" s="100"/>
    </row>
    <row r="126" spans="1:8" ht="13.5" customHeight="1">
      <c r="A126" s="757" t="s">
        <v>273</v>
      </c>
      <c r="B126" s="758"/>
      <c r="C126" s="758"/>
      <c r="D126" s="758"/>
      <c r="E126" s="758"/>
      <c r="F126" s="758"/>
      <c r="G126" s="758"/>
      <c r="H126" s="758"/>
    </row>
    <row r="127" spans="1:8" ht="13.5" customHeight="1" thickBot="1">
      <c r="B127" s="3"/>
      <c r="F127" s="100"/>
    </row>
    <row r="128" spans="1:8" ht="13.5" customHeight="1">
      <c r="B128" s="66" t="s">
        <v>274</v>
      </c>
      <c r="C128" s="13"/>
      <c r="D128" s="101"/>
      <c r="E128" s="101"/>
      <c r="F128" s="101"/>
      <c r="G128" s="14"/>
      <c r="H128" s="102"/>
    </row>
    <row r="129" spans="2:8" ht="13.5" customHeight="1">
      <c r="B129" s="87"/>
      <c r="C129" s="790" t="s">
        <v>491</v>
      </c>
      <c r="D129" s="770"/>
      <c r="E129" s="770"/>
      <c r="F129" s="765"/>
      <c r="G129" s="23"/>
      <c r="H129" s="102"/>
    </row>
    <row r="130" spans="2:8" ht="13.5" customHeight="1">
      <c r="B130" s="78"/>
      <c r="C130" s="103" t="s">
        <v>275</v>
      </c>
      <c r="D130" s="104" t="s">
        <v>276</v>
      </c>
      <c r="E130" s="104" t="s">
        <v>224</v>
      </c>
      <c r="F130" s="104" t="s">
        <v>277</v>
      </c>
      <c r="G130" s="105"/>
      <c r="H130" s="106"/>
    </row>
    <row r="131" spans="2:8" ht="13.5" customHeight="1">
      <c r="B131" s="78"/>
      <c r="C131" s="107" t="str">
        <f>'DADOS DE ENTRADA'!$D$26</f>
        <v>Calça comprida de brim</v>
      </c>
      <c r="D131" s="108">
        <v>2</v>
      </c>
      <c r="E131" s="250">
        <v>53</v>
      </c>
      <c r="F131" s="109">
        <f>(D131*E131)/12</f>
        <v>8.8333333333333339</v>
      </c>
      <c r="G131" s="110"/>
      <c r="H131" s="111"/>
    </row>
    <row r="132" spans="2:8" ht="13.5" customHeight="1">
      <c r="B132" s="78"/>
      <c r="C132" s="107" t="str">
        <f>'DADOS DE ENTRADA'!$D$30</f>
        <v>Capa de chuva em PVC</v>
      </c>
      <c r="D132" s="108">
        <v>2</v>
      </c>
      <c r="E132" s="250">
        <v>20.49</v>
      </c>
      <c r="F132" s="109">
        <f>(D132*E132)/12</f>
        <v>3.4149999999999996</v>
      </c>
      <c r="G132" s="110"/>
      <c r="H132" s="111"/>
    </row>
    <row r="133" spans="2:8" ht="13.5" customHeight="1">
      <c r="B133" s="95"/>
      <c r="C133" s="348" t="str">
        <f>'DADOS DE ENTRADA'!$D$28</f>
        <v>Camisa de brim com manga</v>
      </c>
      <c r="D133" s="108">
        <v>2</v>
      </c>
      <c r="E133" s="250">
        <v>63</v>
      </c>
      <c r="F133" s="109">
        <f>(D133*E133)/12</f>
        <v>10.5</v>
      </c>
      <c r="G133" s="110"/>
      <c r="H133" s="111"/>
    </row>
    <row r="134" spans="2:8" ht="13.5" customHeight="1">
      <c r="B134" s="78"/>
      <c r="C134" s="107" t="str">
        <f>'DADOS DE ENTRADA'!$D$29</f>
        <v>Calçados tipo "Vulcabras"</v>
      </c>
      <c r="D134" s="108">
        <v>2</v>
      </c>
      <c r="E134" s="250">
        <v>54.8</v>
      </c>
      <c r="F134" s="109">
        <f>(D134*E134)/12</f>
        <v>9.1333333333333329</v>
      </c>
      <c r="G134" s="110"/>
      <c r="H134" s="111"/>
    </row>
    <row r="135" spans="2:8" ht="13.5" customHeight="1">
      <c r="B135" s="78"/>
      <c r="C135" s="19"/>
      <c r="D135" s="84"/>
      <c r="E135" s="344" t="s">
        <v>278</v>
      </c>
      <c r="F135" s="76">
        <f>SUM(F131:F134)</f>
        <v>31.881666666666668</v>
      </c>
      <c r="G135" s="112"/>
      <c r="H135" s="113"/>
    </row>
    <row r="136" spans="2:8" ht="13.5" customHeight="1">
      <c r="B136" s="78"/>
      <c r="C136" s="19"/>
      <c r="D136" s="19"/>
      <c r="E136" s="19"/>
      <c r="F136" s="19"/>
      <c r="G136" s="114"/>
      <c r="H136" s="115"/>
    </row>
    <row r="137" spans="2:8" ht="13.5" customHeight="1">
      <c r="B137" s="78"/>
      <c r="C137" s="771" t="s">
        <v>279</v>
      </c>
      <c r="D137" s="771"/>
      <c r="E137" s="771"/>
      <c r="F137" s="771"/>
      <c r="G137" s="114"/>
      <c r="H137" s="115"/>
    </row>
    <row r="138" spans="2:8" ht="13.5" customHeight="1">
      <c r="B138" s="87"/>
      <c r="C138" s="104" t="s">
        <v>275</v>
      </c>
      <c r="D138" s="104" t="s">
        <v>276</v>
      </c>
      <c r="E138" s="104" t="s">
        <v>224</v>
      </c>
      <c r="F138" s="104" t="s">
        <v>277</v>
      </c>
      <c r="G138" s="105"/>
      <c r="H138" s="228"/>
    </row>
    <row r="139" spans="2:8" ht="13.5" customHeight="1">
      <c r="B139" s="95"/>
      <c r="C139" s="107" t="str">
        <f>'DADOS DE ENTRADA'!$D$25</f>
        <v>Boné tipo "Jóckey"</v>
      </c>
      <c r="D139" s="108">
        <v>3</v>
      </c>
      <c r="E139" s="250">
        <v>22</v>
      </c>
      <c r="F139" s="109">
        <f t="shared" ref="F139:F146" si="4">(D139*E139)/12</f>
        <v>5.5</v>
      </c>
      <c r="G139" s="229"/>
      <c r="H139" s="230"/>
    </row>
    <row r="140" spans="2:8" ht="13.5" customHeight="1">
      <c r="B140" s="95"/>
      <c r="C140" s="107" t="str">
        <f>'DADOS DE ENTRADA'!$D$26</f>
        <v>Calça comprida de brim</v>
      </c>
      <c r="D140" s="108">
        <v>3</v>
      </c>
      <c r="E140" s="250">
        <f>E131</f>
        <v>53</v>
      </c>
      <c r="F140" s="109">
        <f t="shared" si="4"/>
        <v>13.25</v>
      </c>
      <c r="G140" s="229"/>
      <c r="H140" s="230"/>
    </row>
    <row r="141" spans="2:8" ht="13.5" customHeight="1">
      <c r="B141" s="78"/>
      <c r="C141" s="107" t="str">
        <f>'DADOS DE ENTRADA'!$D$29</f>
        <v>Calçados tipo "Vulcabras"</v>
      </c>
      <c r="D141" s="108">
        <v>3</v>
      </c>
      <c r="E141" s="250">
        <f>E134</f>
        <v>54.8</v>
      </c>
      <c r="F141" s="109">
        <f t="shared" si="4"/>
        <v>13.699999999999998</v>
      </c>
      <c r="G141" s="229"/>
      <c r="H141" s="230"/>
    </row>
    <row r="142" spans="2:8" ht="13.5" customHeight="1">
      <c r="B142" s="95"/>
      <c r="C142" s="348" t="str">
        <f>'DADOS DE ENTRADA'!$D$28</f>
        <v>Camisa de brim com manga</v>
      </c>
      <c r="D142" s="108">
        <v>3</v>
      </c>
      <c r="E142" s="250">
        <f>E133</f>
        <v>63</v>
      </c>
      <c r="F142" s="109">
        <f t="shared" si="4"/>
        <v>15.75</v>
      </c>
      <c r="G142" s="229"/>
      <c r="H142" s="230"/>
    </row>
    <row r="143" spans="2:8" ht="13.5" customHeight="1">
      <c r="B143" s="78"/>
      <c r="C143" s="107" t="str">
        <f>'DADOS DE ENTRADA'!$D$30</f>
        <v>Capa de chuva em PVC</v>
      </c>
      <c r="D143" s="108">
        <v>2</v>
      </c>
      <c r="E143" s="250">
        <f>E132</f>
        <v>20.49</v>
      </c>
      <c r="F143" s="109">
        <f t="shared" si="4"/>
        <v>3.4149999999999996</v>
      </c>
      <c r="G143" s="229"/>
      <c r="H143" s="230"/>
    </row>
    <row r="144" spans="2:8" ht="13.5" customHeight="1">
      <c r="B144" s="95"/>
      <c r="C144" s="107" t="str">
        <f>'DADOS DE ENTRADA'!$D$31</f>
        <v>Colete sinalizador</v>
      </c>
      <c r="D144" s="108">
        <v>2</v>
      </c>
      <c r="E144" s="250">
        <v>18.899999999999999</v>
      </c>
      <c r="F144" s="109">
        <f t="shared" si="4"/>
        <v>3.15</v>
      </c>
      <c r="G144" s="229"/>
      <c r="H144" s="230"/>
    </row>
    <row r="145" spans="2:15" ht="13.5" customHeight="1">
      <c r="B145" s="87"/>
      <c r="C145" s="348" t="str">
        <f>'DADOS DE ENTRADA'!$D$33</f>
        <v>Luvas em raspa de couro</v>
      </c>
      <c r="D145" s="108">
        <v>4</v>
      </c>
      <c r="E145" s="250">
        <v>23.65</v>
      </c>
      <c r="F145" s="109">
        <f t="shared" si="4"/>
        <v>7.8833333333333329</v>
      </c>
      <c r="G145" s="229"/>
      <c r="H145" s="230"/>
    </row>
    <row r="146" spans="2:15" ht="13.5" customHeight="1">
      <c r="B146" s="78"/>
      <c r="C146" s="107" t="str">
        <f>'DADOS DE ENTRADA'!D$40</f>
        <v>Protetor solar FPS 30</v>
      </c>
      <c r="D146" s="108">
        <v>12</v>
      </c>
      <c r="E146" s="250">
        <v>11.63</v>
      </c>
      <c r="F146" s="109">
        <f t="shared" si="4"/>
        <v>11.63</v>
      </c>
      <c r="G146" s="229"/>
      <c r="H146" s="230"/>
    </row>
    <row r="147" spans="2:15" ht="13.5" customHeight="1">
      <c r="B147" s="95"/>
      <c r="C147" s="19"/>
      <c r="D147" s="84"/>
      <c r="E147" s="344" t="s">
        <v>280</v>
      </c>
      <c r="F147" s="231">
        <f>SUM(F139:F146)</f>
        <v>74.278333333333322</v>
      </c>
      <c r="G147" s="112"/>
      <c r="H147" s="232"/>
    </row>
    <row r="148" spans="2:15" ht="13.5" customHeight="1">
      <c r="B148" s="78"/>
      <c r="C148" s="84"/>
      <c r="D148" s="19"/>
      <c r="E148" s="93"/>
      <c r="F148" s="116"/>
      <c r="G148" s="23"/>
    </row>
    <row r="149" spans="2:15" ht="13.5" customHeight="1">
      <c r="B149" s="95"/>
      <c r="C149" s="19"/>
      <c r="D149" s="104" t="s">
        <v>281</v>
      </c>
      <c r="E149" s="104" t="s">
        <v>282</v>
      </c>
      <c r="F149" s="104" t="s">
        <v>225</v>
      </c>
      <c r="G149" s="23"/>
    </row>
    <row r="150" spans="2:15" s="1" customFormat="1" ht="13.5" customHeight="1">
      <c r="B150" s="78"/>
      <c r="C150" s="84" t="s">
        <v>56</v>
      </c>
      <c r="D150" s="108">
        <f>E48</f>
        <v>4</v>
      </c>
      <c r="E150" s="123">
        <f>+F135</f>
        <v>31.881666666666668</v>
      </c>
      <c r="F150" s="109">
        <f>ROUND(+E150*D150,2)</f>
        <v>127.53</v>
      </c>
      <c r="G150" s="23"/>
      <c r="I150" s="52"/>
      <c r="J150" s="52"/>
      <c r="K150" s="52"/>
      <c r="L150" s="52"/>
      <c r="M150" s="52"/>
      <c r="N150" s="52"/>
      <c r="O150" s="52"/>
    </row>
    <row r="151" spans="2:15" s="1" customFormat="1" ht="13.5" customHeight="1">
      <c r="B151" s="78"/>
      <c r="C151" s="84" t="s">
        <v>226</v>
      </c>
      <c r="D151" s="108">
        <f>E49</f>
        <v>8</v>
      </c>
      <c r="E151" s="233">
        <f>+F147</f>
        <v>74.278333333333322</v>
      </c>
      <c r="F151" s="109">
        <f>ROUND(+E151*D151,2)</f>
        <v>594.23</v>
      </c>
      <c r="G151" s="23"/>
      <c r="I151" s="52"/>
      <c r="J151" s="52"/>
      <c r="K151" s="52"/>
      <c r="L151" s="52"/>
      <c r="M151" s="52"/>
      <c r="N151" s="52"/>
      <c r="O151" s="52"/>
    </row>
    <row r="152" spans="2:15" s="1" customFormat="1" ht="13.5" customHeight="1">
      <c r="B152" s="78"/>
      <c r="C152" s="84" t="s">
        <v>552</v>
      </c>
      <c r="D152" s="108">
        <f>E50</f>
        <v>0</v>
      </c>
      <c r="E152" s="233"/>
      <c r="F152" s="109">
        <f>ROUND(+E152*D152,2)</f>
        <v>0</v>
      </c>
      <c r="G152" s="23"/>
      <c r="I152" s="52"/>
      <c r="J152" s="52"/>
      <c r="K152" s="52"/>
      <c r="L152" s="52"/>
      <c r="M152" s="52"/>
      <c r="N152" s="52"/>
      <c r="O152" s="52"/>
    </row>
    <row r="153" spans="2:15" s="1" customFormat="1" ht="13.5" customHeight="1">
      <c r="B153" s="78"/>
      <c r="C153" s="19"/>
      <c r="D153" s="84"/>
      <c r="E153" s="344" t="s">
        <v>285</v>
      </c>
      <c r="F153" s="76">
        <f>SUM(F150:F151)</f>
        <v>721.76</v>
      </c>
      <c r="G153" s="112" t="s">
        <v>229</v>
      </c>
      <c r="I153" s="52"/>
      <c r="J153" s="52"/>
      <c r="K153" s="52"/>
      <c r="L153" s="52"/>
      <c r="M153" s="52"/>
      <c r="N153" s="52"/>
      <c r="O153" s="52"/>
    </row>
    <row r="154" spans="2:15" s="1" customFormat="1" ht="13.5" customHeight="1">
      <c r="B154" s="78"/>
      <c r="C154" s="19"/>
      <c r="D154" s="16"/>
      <c r="E154" s="344" t="s">
        <v>286</v>
      </c>
      <c r="F154" s="76">
        <f>E8*F153</f>
        <v>8661.119999999999</v>
      </c>
      <c r="G154" s="112" t="s">
        <v>229</v>
      </c>
      <c r="I154" s="52"/>
      <c r="J154" s="52"/>
      <c r="K154" s="52"/>
      <c r="L154" s="52"/>
      <c r="M154" s="52"/>
      <c r="N154" s="52"/>
      <c r="O154" s="52"/>
    </row>
    <row r="155" spans="2:15" s="1" customFormat="1" ht="13.5" customHeight="1">
      <c r="B155" s="86"/>
      <c r="C155" s="19"/>
      <c r="D155" s="19"/>
      <c r="E155" s="93"/>
      <c r="F155" s="116"/>
      <c r="G155" s="23"/>
      <c r="I155" s="52"/>
      <c r="J155" s="52"/>
      <c r="K155" s="52"/>
      <c r="L155" s="52"/>
      <c r="M155" s="52"/>
      <c r="N155" s="52"/>
      <c r="O155" s="52"/>
    </row>
    <row r="156" spans="2:15" s="1" customFormat="1" ht="13.5" customHeight="1">
      <c r="B156" s="87" t="s">
        <v>287</v>
      </c>
      <c r="C156" s="19"/>
      <c r="D156" s="117"/>
      <c r="E156" s="117"/>
      <c r="F156" s="117"/>
      <c r="G156" s="23"/>
      <c r="I156" s="52"/>
      <c r="J156" s="52"/>
      <c r="K156" s="52"/>
      <c r="L156" s="52"/>
      <c r="M156" s="52"/>
      <c r="N156" s="52"/>
      <c r="O156" s="52"/>
    </row>
    <row r="157" spans="2:15" s="1" customFormat="1" ht="13.5" customHeight="1">
      <c r="B157" s="118"/>
      <c r="C157" s="119"/>
      <c r="D157" s="104" t="s">
        <v>288</v>
      </c>
      <c r="E157" s="234" t="s">
        <v>224</v>
      </c>
      <c r="F157" s="82" t="s">
        <v>277</v>
      </c>
      <c r="G157" s="23"/>
      <c r="I157" s="52"/>
      <c r="J157" s="52"/>
      <c r="K157" s="52"/>
      <c r="L157" s="52"/>
      <c r="M157" s="52"/>
      <c r="N157" s="52"/>
      <c r="O157" s="52"/>
    </row>
    <row r="158" spans="2:15" s="1" customFormat="1" ht="13.5" customHeight="1">
      <c r="B158" s="118"/>
      <c r="C158" s="119" t="s">
        <v>289</v>
      </c>
      <c r="D158" s="122">
        <v>2</v>
      </c>
      <c r="E158" s="123">
        <v>12</v>
      </c>
      <c r="F158" s="72">
        <f>(D158*E158)/12</f>
        <v>2</v>
      </c>
      <c r="G158" s="23"/>
      <c r="I158" s="52"/>
      <c r="J158" s="52"/>
      <c r="K158" s="52"/>
      <c r="L158" s="52"/>
      <c r="M158" s="52"/>
      <c r="N158" s="52"/>
      <c r="O158" s="52"/>
    </row>
    <row r="159" spans="2:15" s="1" customFormat="1" ht="13.5" customHeight="1">
      <c r="B159" s="118"/>
      <c r="C159" s="119" t="s">
        <v>29</v>
      </c>
      <c r="D159" s="122">
        <v>2</v>
      </c>
      <c r="E159" s="123">
        <v>110.5</v>
      </c>
      <c r="F159" s="72">
        <f>(D159*E159)/12</f>
        <v>18.416666666666668</v>
      </c>
      <c r="G159" s="23"/>
      <c r="I159" s="52"/>
      <c r="J159" s="52"/>
      <c r="K159" s="52"/>
      <c r="L159" s="52"/>
      <c r="M159" s="52"/>
      <c r="N159" s="52"/>
      <c r="O159" s="52"/>
    </row>
    <row r="160" spans="2:15" s="1" customFormat="1" ht="13.5" customHeight="1">
      <c r="B160" s="78"/>
      <c r="C160" s="117" t="s">
        <v>42</v>
      </c>
      <c r="D160" s="120">
        <v>2</v>
      </c>
      <c r="E160" s="121">
        <v>34</v>
      </c>
      <c r="F160" s="72">
        <f>(D160*E160)/12</f>
        <v>5.666666666666667</v>
      </c>
      <c r="G160" s="124"/>
      <c r="I160" s="52"/>
      <c r="J160" s="52"/>
      <c r="K160" s="52"/>
      <c r="L160" s="52"/>
      <c r="M160" s="52"/>
      <c r="N160" s="52"/>
      <c r="O160" s="52"/>
    </row>
    <row r="161" spans="2:15" s="1" customFormat="1" ht="13.5" customHeight="1">
      <c r="B161" s="78"/>
      <c r="C161" s="117" t="s">
        <v>50</v>
      </c>
      <c r="D161" s="120">
        <v>4</v>
      </c>
      <c r="E161" s="121">
        <v>39</v>
      </c>
      <c r="F161" s="72">
        <f>(D161*E161)/12</f>
        <v>13</v>
      </c>
      <c r="G161" s="124"/>
      <c r="I161" s="52"/>
      <c r="J161" s="52"/>
      <c r="K161" s="52"/>
      <c r="L161" s="52"/>
      <c r="M161" s="52"/>
      <c r="N161" s="52"/>
      <c r="O161" s="52"/>
    </row>
    <row r="162" spans="2:15" s="1" customFormat="1" ht="13.5" customHeight="1">
      <c r="B162" s="78"/>
      <c r="C162" s="117" t="s">
        <v>480</v>
      </c>
      <c r="D162" s="120">
        <v>2</v>
      </c>
      <c r="E162" s="233">
        <v>202.5</v>
      </c>
      <c r="F162" s="72">
        <f>(D162*E162)/12</f>
        <v>33.75</v>
      </c>
      <c r="G162" s="124"/>
      <c r="I162" s="52"/>
      <c r="J162" s="52"/>
      <c r="K162" s="52"/>
      <c r="L162" s="52"/>
      <c r="M162" s="52"/>
      <c r="N162" s="52"/>
      <c r="O162" s="52"/>
    </row>
    <row r="163" spans="2:15" s="1" customFormat="1" ht="13.5" customHeight="1">
      <c r="B163" s="95"/>
      <c r="C163" s="84"/>
      <c r="D163" s="19"/>
      <c r="E163" s="344" t="s">
        <v>290</v>
      </c>
      <c r="F163" s="76">
        <f>SUM(F158:F162)</f>
        <v>72.833333333333343</v>
      </c>
      <c r="G163" s="112" t="s">
        <v>229</v>
      </c>
      <c r="I163" s="52"/>
      <c r="J163" s="52"/>
      <c r="K163" s="52"/>
      <c r="L163" s="52"/>
      <c r="M163" s="52"/>
      <c r="N163" s="52"/>
      <c r="O163" s="52"/>
    </row>
    <row r="164" spans="2:15" s="1" customFormat="1" ht="13.5" customHeight="1">
      <c r="B164" s="95"/>
      <c r="C164" s="19"/>
      <c r="D164" s="19"/>
      <c r="E164" s="93"/>
      <c r="F164" s="93"/>
      <c r="G164" s="23"/>
      <c r="I164" s="52"/>
      <c r="J164" s="52"/>
      <c r="K164" s="52"/>
      <c r="L164" s="52"/>
      <c r="M164" s="52"/>
      <c r="N164" s="52"/>
      <c r="O164" s="52"/>
    </row>
    <row r="165" spans="2:15" s="1" customFormat="1" ht="13.5" customHeight="1">
      <c r="B165" s="69"/>
      <c r="C165" s="79"/>
      <c r="D165" s="104" t="s">
        <v>291</v>
      </c>
      <c r="E165" s="104" t="s">
        <v>282</v>
      </c>
      <c r="F165" s="104" t="s">
        <v>225</v>
      </c>
      <c r="G165" s="23"/>
      <c r="I165" s="52"/>
      <c r="J165" s="52"/>
      <c r="K165" s="52"/>
      <c r="L165" s="52"/>
      <c r="M165" s="52"/>
      <c r="N165" s="52"/>
      <c r="O165" s="52"/>
    </row>
    <row r="166" spans="2:15" s="1" customFormat="1" ht="13.5" customHeight="1">
      <c r="B166" s="78"/>
      <c r="C166" s="19"/>
      <c r="D166" s="108">
        <f>E7</f>
        <v>7</v>
      </c>
      <c r="E166" s="108">
        <f>F163</f>
        <v>72.833333333333343</v>
      </c>
      <c r="F166" s="109">
        <f>ROUND(+E166*D166,2)</f>
        <v>509.83</v>
      </c>
      <c r="G166" s="23"/>
      <c r="I166" s="52"/>
      <c r="J166" s="52"/>
      <c r="K166" s="52"/>
      <c r="L166" s="52"/>
      <c r="M166" s="52"/>
      <c r="N166" s="52"/>
      <c r="O166" s="52"/>
    </row>
    <row r="167" spans="2:15" ht="13.5" customHeight="1">
      <c r="B167" s="86"/>
      <c r="C167" s="19"/>
      <c r="D167" s="19"/>
      <c r="E167" s="344" t="s">
        <v>292</v>
      </c>
      <c r="F167" s="76">
        <f>F166</f>
        <v>509.83</v>
      </c>
      <c r="G167" s="23"/>
    </row>
    <row r="168" spans="2:15" ht="13.5" customHeight="1">
      <c r="B168" s="86"/>
      <c r="C168" s="19"/>
      <c r="D168" s="19"/>
      <c r="E168" s="344" t="s">
        <v>293</v>
      </c>
      <c r="F168" s="76">
        <f>+E8*F167</f>
        <v>6117.96</v>
      </c>
      <c r="G168" s="112" t="s">
        <v>229</v>
      </c>
    </row>
    <row r="169" spans="2:15" ht="13.5" customHeight="1" thickBot="1">
      <c r="B169" s="125"/>
      <c r="C169" s="48"/>
      <c r="D169" s="48"/>
      <c r="E169" s="126"/>
      <c r="F169" s="127"/>
      <c r="G169" s="29"/>
    </row>
    <row r="170" spans="2:15" ht="13.5" customHeight="1" thickBot="1">
      <c r="B170" s="78"/>
      <c r="C170" s="19"/>
      <c r="D170" s="19"/>
      <c r="E170" s="93"/>
      <c r="F170" s="80"/>
      <c r="G170" s="23"/>
    </row>
    <row r="171" spans="2:15" ht="13.5" customHeight="1">
      <c r="B171" s="86"/>
      <c r="C171" s="128"/>
      <c r="D171" s="129"/>
      <c r="E171" s="129"/>
      <c r="F171" s="130"/>
      <c r="G171" s="112"/>
    </row>
    <row r="172" spans="2:15" ht="13.5" customHeight="1">
      <c r="B172" s="86"/>
      <c r="C172" s="347" t="s">
        <v>294</v>
      </c>
      <c r="D172" s="132"/>
      <c r="E172" s="76">
        <f>F167+F153</f>
        <v>1231.5899999999999</v>
      </c>
      <c r="F172" s="133" t="s">
        <v>229</v>
      </c>
      <c r="G172" s="23"/>
    </row>
    <row r="173" spans="2:15" ht="13.5" customHeight="1">
      <c r="B173" s="86"/>
      <c r="C173" s="134" t="s">
        <v>295</v>
      </c>
      <c r="D173" s="132"/>
      <c r="E173" s="132"/>
      <c r="F173" s="135"/>
      <c r="G173" s="23"/>
    </row>
    <row r="174" spans="2:15" ht="13.5" customHeight="1">
      <c r="B174" s="86"/>
      <c r="C174" s="347" t="s">
        <v>296</v>
      </c>
      <c r="D174" s="132"/>
      <c r="E174" s="76">
        <f>+E172*E8</f>
        <v>14779.079999999998</v>
      </c>
      <c r="F174" s="133" t="s">
        <v>229</v>
      </c>
      <c r="G174" s="23"/>
    </row>
    <row r="175" spans="2:15" ht="13.5" customHeight="1" thickBot="1">
      <c r="B175" s="86"/>
      <c r="C175" s="136" t="s">
        <v>295</v>
      </c>
      <c r="D175" s="137"/>
      <c r="E175" s="137"/>
      <c r="F175" s="138"/>
      <c r="G175" s="112"/>
      <c r="H175" s="34"/>
    </row>
    <row r="176" spans="2:15" ht="13.5" customHeight="1" thickBot="1">
      <c r="B176" s="139"/>
      <c r="C176" s="48"/>
      <c r="D176" s="48"/>
      <c r="E176" s="48"/>
      <c r="F176" s="127"/>
      <c r="G176" s="29"/>
    </row>
    <row r="177" spans="1:15" ht="13.5" customHeight="1">
      <c r="A177" s="3"/>
      <c r="B177" s="3"/>
      <c r="E177" s="100"/>
      <c r="F177" s="2"/>
    </row>
    <row r="178" spans="1:15" ht="13.8">
      <c r="A178" s="757" t="s">
        <v>297</v>
      </c>
      <c r="B178" s="758"/>
      <c r="C178" s="758"/>
      <c r="D178" s="758"/>
      <c r="E178" s="758"/>
      <c r="F178" s="758"/>
      <c r="G178" s="758"/>
      <c r="H178" s="758"/>
    </row>
    <row r="179" spans="1:15">
      <c r="B179" s="3"/>
      <c r="F179" s="100"/>
    </row>
    <row r="180" spans="1:15">
      <c r="A180" s="791" t="s">
        <v>554</v>
      </c>
      <c r="B180" s="767"/>
      <c r="C180" s="767"/>
      <c r="D180" s="767"/>
      <c r="E180" s="767"/>
      <c r="F180" s="767"/>
      <c r="G180" s="767"/>
      <c r="H180" s="767"/>
    </row>
    <row r="181" spans="1:15" ht="12.75" customHeight="1">
      <c r="A181" s="772" t="s">
        <v>298</v>
      </c>
      <c r="B181" s="772"/>
      <c r="C181" s="772"/>
      <c r="D181" s="772"/>
      <c r="E181" s="772"/>
      <c r="F181" s="772"/>
      <c r="G181" s="772"/>
      <c r="H181" s="772"/>
    </row>
    <row r="182" spans="1:15" ht="12" thickBot="1">
      <c r="B182" s="3"/>
      <c r="F182" s="100"/>
    </row>
    <row r="183" spans="1:15" s="1" customFormat="1">
      <c r="A183" s="52"/>
      <c r="B183" s="349" t="s">
        <v>299</v>
      </c>
      <c r="C183" s="13"/>
      <c r="D183" s="13"/>
      <c r="E183" s="140"/>
      <c r="F183" s="13"/>
      <c r="G183" s="14"/>
      <c r="I183" s="52"/>
      <c r="J183" s="52"/>
      <c r="K183" s="52"/>
      <c r="L183" s="52"/>
      <c r="M183" s="52"/>
      <c r="N183" s="52"/>
      <c r="O183" s="52"/>
    </row>
    <row r="184" spans="1:15" s="1" customFormat="1">
      <c r="A184" s="52"/>
      <c r="B184" s="350" t="s">
        <v>555</v>
      </c>
      <c r="C184" s="19"/>
      <c r="D184" s="19"/>
      <c r="E184" s="142">
        <v>0.2</v>
      </c>
      <c r="F184" s="19"/>
      <c r="G184" s="23"/>
      <c r="I184" s="52"/>
      <c r="J184" s="52"/>
      <c r="K184" s="52"/>
      <c r="L184" s="52"/>
      <c r="M184" s="52"/>
      <c r="N184" s="52"/>
      <c r="O184" s="52"/>
    </row>
    <row r="185" spans="1:15" s="1" customFormat="1">
      <c r="A185" s="52"/>
      <c r="B185" s="141" t="s">
        <v>536</v>
      </c>
      <c r="C185" s="19"/>
      <c r="D185" s="19"/>
      <c r="E185" s="19"/>
      <c r="F185" s="19"/>
      <c r="G185" s="23"/>
      <c r="I185" s="52"/>
      <c r="J185" s="52"/>
      <c r="K185" s="52"/>
      <c r="L185" s="52"/>
      <c r="M185" s="52"/>
      <c r="N185" s="52"/>
      <c r="O185" s="52"/>
    </row>
    <row r="186" spans="1:15" s="1" customFormat="1" ht="10.5" customHeight="1">
      <c r="A186" s="52"/>
      <c r="B186" s="141"/>
      <c r="C186" s="144" t="s">
        <v>325</v>
      </c>
      <c r="D186" s="145"/>
      <c r="E186" s="72">
        <v>4</v>
      </c>
      <c r="F186" s="77" t="s">
        <v>301</v>
      </c>
      <c r="G186" s="23"/>
      <c r="I186" s="52"/>
      <c r="J186" s="52"/>
      <c r="K186" s="52"/>
      <c r="L186" s="52"/>
      <c r="M186" s="52"/>
      <c r="N186" s="52"/>
      <c r="O186" s="52"/>
    </row>
    <row r="187" spans="1:15" s="1" customFormat="1">
      <c r="A187" s="52"/>
      <c r="B187" s="143"/>
      <c r="C187" s="144" t="s">
        <v>493</v>
      </c>
      <c r="D187" s="145"/>
      <c r="E187" s="21">
        <v>337380</v>
      </c>
      <c r="F187" s="77" t="s">
        <v>229</v>
      </c>
      <c r="G187" s="23"/>
      <c r="I187" s="52"/>
      <c r="J187" s="52"/>
      <c r="K187" s="52"/>
      <c r="L187" s="52"/>
      <c r="M187" s="52"/>
      <c r="N187" s="52"/>
      <c r="O187" s="52"/>
    </row>
    <row r="188" spans="1:15" s="1" customFormat="1">
      <c r="A188" s="52"/>
      <c r="B188" s="143"/>
      <c r="C188" s="144" t="s">
        <v>551</v>
      </c>
      <c r="D188" s="145"/>
      <c r="E188" s="21">
        <v>25000</v>
      </c>
      <c r="F188" s="77"/>
      <c r="G188" s="23"/>
      <c r="I188" s="52"/>
      <c r="J188" s="52"/>
      <c r="K188" s="52"/>
      <c r="L188" s="52"/>
      <c r="M188" s="52"/>
      <c r="N188" s="52"/>
      <c r="O188" s="52"/>
    </row>
    <row r="189" spans="1:15" s="1" customFormat="1">
      <c r="A189" s="52"/>
      <c r="B189" s="143"/>
      <c r="C189" s="144" t="s">
        <v>303</v>
      </c>
      <c r="D189" s="145"/>
      <c r="E189" s="21">
        <f>E188+E187</f>
        <v>362380</v>
      </c>
      <c r="F189" s="77"/>
      <c r="G189" s="23"/>
      <c r="I189" s="52"/>
      <c r="J189" s="52"/>
      <c r="K189" s="52"/>
      <c r="L189" s="52"/>
      <c r="M189" s="52"/>
      <c r="N189" s="52"/>
      <c r="O189" s="52"/>
    </row>
    <row r="190" spans="1:15" s="1" customFormat="1">
      <c r="A190" s="52"/>
      <c r="B190" s="143"/>
      <c r="C190" s="144" t="s">
        <v>304</v>
      </c>
      <c r="D190" s="145"/>
      <c r="E190" s="21">
        <v>5</v>
      </c>
      <c r="F190" s="77" t="s">
        <v>305</v>
      </c>
      <c r="G190" s="23"/>
      <c r="I190" s="52"/>
      <c r="J190" s="52"/>
      <c r="K190" s="52"/>
      <c r="L190" s="52"/>
      <c r="M190" s="52"/>
      <c r="N190" s="52"/>
      <c r="O190" s="52"/>
    </row>
    <row r="191" spans="1:15" s="1" customFormat="1" ht="12" thickBot="1">
      <c r="A191" s="52"/>
      <c r="B191" s="143"/>
      <c r="C191" s="144" t="s">
        <v>306</v>
      </c>
      <c r="D191" s="145"/>
      <c r="E191" s="27">
        <f>E184*E189</f>
        <v>72476</v>
      </c>
      <c r="F191" s="77" t="s">
        <v>229</v>
      </c>
      <c r="G191" s="23"/>
      <c r="I191" s="52"/>
      <c r="J191" s="52"/>
      <c r="K191" s="52"/>
      <c r="L191" s="52"/>
      <c r="M191" s="52"/>
      <c r="N191" s="52"/>
      <c r="O191" s="52"/>
    </row>
    <row r="192" spans="1:15" s="1" customFormat="1">
      <c r="A192" s="52"/>
      <c r="B192" s="146"/>
      <c r="C192" s="144" t="s">
        <v>307</v>
      </c>
      <c r="D192" s="145"/>
      <c r="E192" s="147">
        <v>2504.64</v>
      </c>
      <c r="F192" s="77" t="s">
        <v>308</v>
      </c>
      <c r="G192" s="23"/>
      <c r="I192" s="52"/>
      <c r="J192" s="52"/>
      <c r="K192" s="52"/>
      <c r="L192" s="52"/>
      <c r="M192" s="52"/>
      <c r="N192" s="52"/>
      <c r="O192" s="52"/>
    </row>
    <row r="193" spans="1:15" s="1" customFormat="1">
      <c r="A193" s="52"/>
      <c r="B193" s="146"/>
      <c r="C193" s="144" t="s">
        <v>309</v>
      </c>
      <c r="D193" s="145"/>
      <c r="E193" s="150">
        <f>(E187-E191)/(E190*E192)</f>
        <v>21.153059920787022</v>
      </c>
      <c r="F193" s="77" t="s">
        <v>229</v>
      </c>
      <c r="G193" s="23"/>
      <c r="I193" s="52"/>
      <c r="J193" s="52"/>
      <c r="K193" s="52"/>
      <c r="L193" s="52"/>
      <c r="M193" s="52"/>
      <c r="N193" s="52"/>
      <c r="O193" s="52"/>
    </row>
    <row r="194" spans="1:15" s="1" customFormat="1">
      <c r="A194" s="52"/>
      <c r="B194" s="141"/>
      <c r="C194" s="149" t="s">
        <v>310</v>
      </c>
      <c r="D194" s="145"/>
      <c r="E194" s="150">
        <f>E193*E192</f>
        <v>52980.800000000003</v>
      </c>
      <c r="F194" s="77" t="s">
        <v>229</v>
      </c>
      <c r="G194" s="23"/>
      <c r="I194" s="52"/>
      <c r="J194" s="52"/>
      <c r="K194" s="52"/>
      <c r="L194" s="52"/>
      <c r="M194" s="52"/>
      <c r="N194" s="52"/>
      <c r="O194" s="52"/>
    </row>
    <row r="195" spans="1:15" s="1" customFormat="1">
      <c r="A195" s="52"/>
      <c r="B195" s="141"/>
      <c r="C195" s="149" t="s">
        <v>311</v>
      </c>
      <c r="D195" s="145"/>
      <c r="E195" s="151">
        <f>E194/12</f>
        <v>4415.0666666666666</v>
      </c>
      <c r="F195" s="77" t="s">
        <v>312</v>
      </c>
      <c r="G195" s="23"/>
      <c r="I195" s="52"/>
      <c r="J195" s="52"/>
      <c r="K195" s="52"/>
      <c r="L195" s="52"/>
      <c r="M195" s="52"/>
      <c r="N195" s="52"/>
      <c r="O195" s="52"/>
    </row>
    <row r="196" spans="1:15" s="1" customFormat="1" ht="12" thickBot="1">
      <c r="A196" s="52"/>
      <c r="B196" s="141"/>
      <c r="C196" s="149" t="s">
        <v>313</v>
      </c>
      <c r="D196" s="145"/>
      <c r="E196" s="152">
        <f>E186*E195</f>
        <v>17660.266666666666</v>
      </c>
      <c r="F196" s="77" t="s">
        <v>312</v>
      </c>
      <c r="G196" s="23"/>
      <c r="I196" s="52"/>
      <c r="J196" s="52"/>
      <c r="K196" s="52"/>
      <c r="L196" s="52"/>
      <c r="M196" s="52"/>
      <c r="N196" s="52"/>
      <c r="O196" s="52"/>
    </row>
    <row r="197" spans="1:15" s="1" customFormat="1">
      <c r="A197" s="52"/>
      <c r="B197" s="141"/>
      <c r="C197" s="19"/>
      <c r="D197" s="19"/>
      <c r="E197" s="93"/>
      <c r="F197" s="19"/>
      <c r="G197" s="23"/>
      <c r="I197" s="52"/>
      <c r="J197" s="52"/>
      <c r="K197" s="52"/>
      <c r="L197" s="52"/>
      <c r="M197" s="52"/>
      <c r="N197" s="52"/>
      <c r="O197" s="52"/>
    </row>
    <row r="198" spans="1:15" s="1" customFormat="1">
      <c r="A198" s="52"/>
      <c r="B198" s="86"/>
      <c r="C198" s="19"/>
      <c r="D198" s="84" t="s">
        <v>316</v>
      </c>
      <c r="E198" s="76">
        <f>E196</f>
        <v>17660.266666666666</v>
      </c>
      <c r="F198" s="77" t="s">
        <v>312</v>
      </c>
      <c r="G198" s="23"/>
      <c r="I198" s="52"/>
      <c r="J198" s="52"/>
      <c r="K198" s="52"/>
      <c r="L198" s="52"/>
      <c r="M198" s="52"/>
      <c r="N198" s="52"/>
      <c r="O198" s="52"/>
    </row>
    <row r="199" spans="1:15">
      <c r="A199" s="52"/>
      <c r="B199" s="86"/>
      <c r="C199" s="19"/>
      <c r="D199" s="344" t="s">
        <v>286</v>
      </c>
      <c r="E199" s="76">
        <f>E8*E198</f>
        <v>211923.20000000001</v>
      </c>
      <c r="F199" s="77" t="s">
        <v>229</v>
      </c>
      <c r="G199" s="23"/>
    </row>
    <row r="200" spans="1:15">
      <c r="A200" s="52"/>
      <c r="B200" s="86"/>
      <c r="C200" s="19"/>
      <c r="D200" s="19"/>
      <c r="E200" s="19"/>
      <c r="F200" s="80"/>
      <c r="G200" s="235"/>
      <c r="H200" s="236"/>
    </row>
    <row r="201" spans="1:15">
      <c r="B201" s="350" t="s">
        <v>317</v>
      </c>
      <c r="C201" s="19"/>
      <c r="D201" s="19"/>
      <c r="E201" s="19"/>
      <c r="F201" s="80"/>
      <c r="G201" s="235"/>
      <c r="H201" s="218"/>
    </row>
    <row r="202" spans="1:15">
      <c r="B202" s="141" t="s">
        <v>319</v>
      </c>
      <c r="C202" s="154" t="s">
        <v>320</v>
      </c>
      <c r="D202" s="155"/>
      <c r="E202" s="80"/>
      <c r="F202" s="80"/>
      <c r="G202" s="235"/>
      <c r="H202" s="218"/>
    </row>
    <row r="203" spans="1:15">
      <c r="B203" s="153"/>
      <c r="C203" s="19"/>
      <c r="D203" s="19"/>
      <c r="E203" s="19"/>
      <c r="F203" s="80"/>
      <c r="G203" s="235"/>
      <c r="H203" s="218"/>
    </row>
    <row r="204" spans="1:15">
      <c r="B204" s="153"/>
      <c r="C204" s="156" t="s">
        <v>321</v>
      </c>
      <c r="D204" s="157">
        <f>E184</f>
        <v>0.2</v>
      </c>
      <c r="E204" s="19"/>
      <c r="F204" s="80"/>
      <c r="G204" s="235"/>
      <c r="H204" s="218"/>
    </row>
    <row r="205" spans="1:15">
      <c r="B205" s="153"/>
      <c r="C205" s="158" t="s">
        <v>322</v>
      </c>
      <c r="D205" s="159">
        <f>E190</f>
        <v>5</v>
      </c>
      <c r="E205" s="19"/>
      <c r="F205" s="80"/>
      <c r="G205" s="235"/>
      <c r="H205" s="218"/>
    </row>
    <row r="206" spans="1:15">
      <c r="B206" s="153"/>
      <c r="C206" s="158" t="s">
        <v>323</v>
      </c>
      <c r="D206" s="160">
        <f>'01-Coleta domiciliar'!D341</f>
        <v>0.104</v>
      </c>
      <c r="E206" s="19"/>
      <c r="F206" s="80"/>
      <c r="G206" s="235"/>
      <c r="H206" s="218"/>
    </row>
    <row r="207" spans="1:15" ht="12" thickBot="1">
      <c r="B207" s="153"/>
      <c r="C207" s="161" t="s">
        <v>324</v>
      </c>
      <c r="D207" s="162">
        <f>((2+(D205-1)*(D204+1))/(24*D205)*D206)</f>
        <v>5.8933333333333329E-3</v>
      </c>
      <c r="E207" s="77"/>
      <c r="F207" s="77"/>
      <c r="G207" s="235"/>
      <c r="H207" s="218"/>
    </row>
    <row r="208" spans="1:15">
      <c r="B208" s="143"/>
      <c r="C208" s="145"/>
      <c r="D208" s="145"/>
      <c r="E208" s="77"/>
      <c r="F208" s="77"/>
      <c r="G208" s="235"/>
      <c r="H208" s="218"/>
    </row>
    <row r="209" spans="1:8">
      <c r="B209" s="143"/>
      <c r="C209" s="144" t="s">
        <v>325</v>
      </c>
      <c r="D209" s="77"/>
      <c r="E209" s="72">
        <f>E186</f>
        <v>4</v>
      </c>
      <c r="F209" s="77" t="s">
        <v>301</v>
      </c>
      <c r="G209" s="235"/>
      <c r="H209" s="218"/>
    </row>
    <row r="210" spans="1:8">
      <c r="B210" s="143"/>
      <c r="C210" s="144" t="s">
        <v>303</v>
      </c>
      <c r="D210" s="145"/>
      <c r="E210" s="21">
        <f>E189</f>
        <v>362380</v>
      </c>
      <c r="F210" s="357" t="s">
        <v>481</v>
      </c>
      <c r="G210" s="235"/>
      <c r="H210" s="218"/>
    </row>
    <row r="211" spans="1:8">
      <c r="B211" s="143"/>
      <c r="C211" s="144" t="s">
        <v>326</v>
      </c>
      <c r="D211" s="145"/>
      <c r="E211" s="163">
        <f>D207</f>
        <v>5.8933333333333329E-3</v>
      </c>
      <c r="F211" s="164"/>
      <c r="G211" s="235"/>
      <c r="H211" s="218"/>
    </row>
    <row r="212" spans="1:8">
      <c r="B212" s="143"/>
      <c r="C212" s="144" t="s">
        <v>327</v>
      </c>
      <c r="D212" s="145"/>
      <c r="E212" s="166">
        <f>E210*E211</f>
        <v>2135.6261333333332</v>
      </c>
      <c r="F212" s="77" t="s">
        <v>229</v>
      </c>
      <c r="G212" s="235"/>
      <c r="H212" s="218"/>
    </row>
    <row r="213" spans="1:8">
      <c r="B213" s="143"/>
      <c r="C213" s="149"/>
      <c r="D213" s="145"/>
      <c r="E213" s="145"/>
      <c r="F213" s="167"/>
      <c r="G213" s="235"/>
      <c r="H213" s="218"/>
    </row>
    <row r="214" spans="1:8">
      <c r="B214" s="165"/>
      <c r="C214" s="17"/>
      <c r="D214" s="84" t="s">
        <v>330</v>
      </c>
      <c r="E214" s="76">
        <f>E212*E209</f>
        <v>8542.5045333333328</v>
      </c>
      <c r="F214" s="77" t="s">
        <v>229</v>
      </c>
      <c r="G214" s="235"/>
      <c r="H214" s="218"/>
    </row>
    <row r="215" spans="1:8">
      <c r="B215" s="86"/>
      <c r="C215" s="16"/>
      <c r="D215" s="344" t="s">
        <v>293</v>
      </c>
      <c r="E215" s="171">
        <f>E8*E214</f>
        <v>102510.05439999999</v>
      </c>
      <c r="F215" s="77" t="s">
        <v>229</v>
      </c>
      <c r="G215" s="235"/>
      <c r="H215" s="218"/>
    </row>
    <row r="216" spans="1:8">
      <c r="B216" s="86"/>
      <c r="C216" s="19"/>
      <c r="D216" s="19"/>
      <c r="E216" s="19"/>
      <c r="F216" s="80"/>
      <c r="G216" s="235"/>
      <c r="H216" s="218"/>
    </row>
    <row r="217" spans="1:8">
      <c r="A217" s="52"/>
      <c r="B217" s="153"/>
      <c r="C217" s="19"/>
      <c r="D217" s="19"/>
      <c r="E217" s="19"/>
      <c r="F217" s="93"/>
      <c r="G217" s="23"/>
    </row>
    <row r="218" spans="1:8">
      <c r="A218" s="91"/>
      <c r="B218" s="350" t="s">
        <v>331</v>
      </c>
      <c r="C218" s="19"/>
      <c r="D218" s="79" t="s">
        <v>332</v>
      </c>
      <c r="E218" s="237">
        <v>0</v>
      </c>
      <c r="F218" s="77" t="s">
        <v>229</v>
      </c>
      <c r="G218" s="23"/>
    </row>
    <row r="219" spans="1:8">
      <c r="A219" s="91"/>
      <c r="B219" s="78"/>
      <c r="C219" s="19"/>
      <c r="D219" s="79" t="s">
        <v>333</v>
      </c>
      <c r="E219" s="237">
        <v>0</v>
      </c>
      <c r="F219" s="77" t="s">
        <v>229</v>
      </c>
      <c r="G219" s="23"/>
    </row>
    <row r="220" spans="1:8">
      <c r="A220" s="91"/>
      <c r="B220" s="78"/>
      <c r="C220" s="19"/>
      <c r="D220" s="19"/>
      <c r="E220" s="19"/>
      <c r="F220" s="93"/>
      <c r="G220" s="23"/>
    </row>
    <row r="221" spans="1:8">
      <c r="A221" s="91"/>
      <c r="B221" s="78"/>
      <c r="C221" s="144" t="s">
        <v>325</v>
      </c>
      <c r="D221" s="145"/>
      <c r="E221" s="72">
        <f>E209</f>
        <v>4</v>
      </c>
      <c r="F221" s="77" t="s">
        <v>301</v>
      </c>
      <c r="G221" s="23"/>
    </row>
    <row r="222" spans="1:8">
      <c r="A222" s="91"/>
      <c r="B222" s="78"/>
      <c r="C222" s="144" t="s">
        <v>303</v>
      </c>
      <c r="D222" s="145"/>
      <c r="E222" s="21">
        <f>E187</f>
        <v>337380</v>
      </c>
      <c r="F222" s="77" t="s">
        <v>229</v>
      </c>
      <c r="G222" s="23"/>
    </row>
    <row r="223" spans="1:8">
      <c r="A223" s="91"/>
      <c r="B223" s="78"/>
      <c r="C223" s="144" t="s">
        <v>334</v>
      </c>
      <c r="D223" s="397">
        <v>0.05</v>
      </c>
      <c r="E223" s="193">
        <f>E222*D223</f>
        <v>16869</v>
      </c>
      <c r="F223" s="351" t="s">
        <v>335</v>
      </c>
      <c r="G223" s="23"/>
    </row>
    <row r="224" spans="1:8">
      <c r="A224" s="91"/>
      <c r="B224" s="78"/>
      <c r="C224" s="144" t="s">
        <v>336</v>
      </c>
      <c r="D224" s="145"/>
      <c r="E224" s="193">
        <f>E222*'DADOS DE ENTRADA'!B63</f>
        <v>3373.8</v>
      </c>
      <c r="F224" s="351" t="s">
        <v>335</v>
      </c>
      <c r="G224" s="23"/>
    </row>
    <row r="225" spans="1:15">
      <c r="A225" s="91"/>
      <c r="B225" s="78"/>
      <c r="C225" s="144" t="s">
        <v>337</v>
      </c>
      <c r="D225" s="145"/>
      <c r="E225" s="76">
        <f>E223+E224+E218+E219</f>
        <v>20242.8</v>
      </c>
      <c r="F225" s="351" t="s">
        <v>335</v>
      </c>
      <c r="G225" s="23"/>
    </row>
    <row r="226" spans="1:15">
      <c r="A226" s="91"/>
      <c r="B226" s="78"/>
      <c r="C226" s="144" t="s">
        <v>338</v>
      </c>
      <c r="D226" s="145"/>
      <c r="E226" s="171">
        <f>E225*E221</f>
        <v>80971.199999999997</v>
      </c>
      <c r="F226" s="351" t="s">
        <v>335</v>
      </c>
      <c r="G226" s="23"/>
    </row>
    <row r="227" spans="1:15">
      <c r="A227" s="91"/>
      <c r="B227" s="78"/>
      <c r="C227" s="19"/>
      <c r="D227" s="19"/>
      <c r="E227" s="19"/>
      <c r="F227" s="93"/>
      <c r="G227" s="23"/>
    </row>
    <row r="228" spans="1:15">
      <c r="A228" s="91"/>
      <c r="B228" s="78"/>
      <c r="C228" s="19"/>
      <c r="D228" s="84" t="s">
        <v>339</v>
      </c>
      <c r="E228" s="76">
        <f>ROUND((E226)/12,2)</f>
        <v>6747.6</v>
      </c>
      <c r="F228" s="77" t="s">
        <v>340</v>
      </c>
      <c r="G228" s="23"/>
    </row>
    <row r="229" spans="1:15">
      <c r="A229" s="91"/>
      <c r="B229" s="78"/>
      <c r="C229" s="19"/>
      <c r="D229" s="344" t="s">
        <v>341</v>
      </c>
      <c r="E229" s="171">
        <f>E8*E228</f>
        <v>80971.200000000012</v>
      </c>
      <c r="F229" s="77" t="s">
        <v>229</v>
      </c>
      <c r="G229" s="23"/>
    </row>
    <row r="230" spans="1:15">
      <c r="A230" s="91"/>
      <c r="B230" s="78"/>
      <c r="C230" s="19"/>
      <c r="D230" s="19"/>
      <c r="E230" s="19"/>
      <c r="F230" s="93"/>
      <c r="G230" s="23"/>
    </row>
    <row r="231" spans="1:15" s="1" customFormat="1">
      <c r="A231" s="52"/>
      <c r="B231" s="78"/>
      <c r="C231" s="19"/>
      <c r="D231" s="19"/>
      <c r="E231" s="19"/>
      <c r="F231" s="93"/>
      <c r="G231" s="23"/>
      <c r="I231" s="52"/>
      <c r="J231" s="52"/>
      <c r="K231" s="52"/>
      <c r="L231" s="52"/>
      <c r="M231" s="52"/>
      <c r="N231" s="52"/>
      <c r="O231" s="52"/>
    </row>
    <row r="232" spans="1:15" s="1" customFormat="1">
      <c r="A232" s="52"/>
      <c r="B232" s="350" t="s">
        <v>342</v>
      </c>
      <c r="C232" s="19"/>
      <c r="D232" s="19"/>
      <c r="E232" s="19"/>
      <c r="F232" s="93"/>
      <c r="G232" s="23"/>
      <c r="I232" s="52"/>
      <c r="J232" s="52"/>
      <c r="K232" s="52"/>
      <c r="L232" s="52"/>
      <c r="M232" s="52"/>
      <c r="N232" s="52"/>
      <c r="O232" s="52"/>
    </row>
    <row r="233" spans="1:15" s="1" customFormat="1">
      <c r="A233" s="52"/>
      <c r="B233" s="86"/>
      <c r="C233" s="144" t="s">
        <v>325</v>
      </c>
      <c r="D233" s="145"/>
      <c r="E233" s="72">
        <f>E221</f>
        <v>4</v>
      </c>
      <c r="F233" s="77" t="s">
        <v>301</v>
      </c>
      <c r="G233" s="23"/>
      <c r="I233" s="52"/>
      <c r="J233" s="52"/>
      <c r="K233" s="52"/>
      <c r="L233" s="52"/>
      <c r="M233" s="52"/>
      <c r="N233" s="52"/>
      <c r="O233" s="52"/>
    </row>
    <row r="234" spans="1:15" s="1" customFormat="1">
      <c r="A234" s="52"/>
      <c r="B234" s="86"/>
      <c r="C234" s="144" t="s">
        <v>303</v>
      </c>
      <c r="D234" s="145"/>
      <c r="E234" s="168">
        <f>E210</f>
        <v>362380</v>
      </c>
      <c r="F234" s="77" t="s">
        <v>229</v>
      </c>
      <c r="G234" s="23"/>
      <c r="I234" s="52"/>
      <c r="J234" s="52"/>
      <c r="K234" s="52"/>
      <c r="L234" s="52"/>
      <c r="M234" s="52"/>
      <c r="N234" s="52"/>
      <c r="O234" s="52"/>
    </row>
    <row r="235" spans="1:15" s="1" customFormat="1">
      <c r="A235" s="52"/>
      <c r="B235" s="86"/>
      <c r="C235" s="144" t="s">
        <v>304</v>
      </c>
      <c r="D235" s="145"/>
      <c r="E235" s="168">
        <f>E190</f>
        <v>5</v>
      </c>
      <c r="F235" s="351" t="s">
        <v>305</v>
      </c>
      <c r="G235" s="23"/>
      <c r="I235" s="52"/>
      <c r="J235" s="52"/>
      <c r="K235" s="52"/>
      <c r="L235" s="52"/>
      <c r="M235" s="52"/>
      <c r="N235" s="52"/>
      <c r="O235" s="52"/>
    </row>
    <row r="236" spans="1:15" s="1" customFormat="1">
      <c r="A236" s="52"/>
      <c r="B236" s="86"/>
      <c r="C236" s="144" t="s">
        <v>343</v>
      </c>
      <c r="D236" s="145"/>
      <c r="E236" s="168">
        <v>0.7</v>
      </c>
      <c r="F236" s="164"/>
      <c r="G236" s="23"/>
      <c r="I236" s="52"/>
      <c r="J236" s="52"/>
      <c r="K236" s="52"/>
      <c r="L236" s="52"/>
      <c r="M236" s="52"/>
      <c r="N236" s="52"/>
      <c r="O236" s="52"/>
    </row>
    <row r="237" spans="1:15" s="1" customFormat="1">
      <c r="A237" s="52"/>
      <c r="B237" s="86"/>
      <c r="C237" s="144" t="s">
        <v>344</v>
      </c>
      <c r="D237" s="145"/>
      <c r="E237" s="147">
        <v>2504.64</v>
      </c>
      <c r="F237" s="351" t="s">
        <v>345</v>
      </c>
      <c r="G237" s="23"/>
      <c r="I237" s="52"/>
      <c r="J237" s="52"/>
      <c r="K237" s="52"/>
      <c r="L237" s="52"/>
      <c r="M237" s="52"/>
      <c r="N237" s="52"/>
      <c r="O237" s="52"/>
    </row>
    <row r="238" spans="1:15" s="1" customFormat="1">
      <c r="A238" s="52"/>
      <c r="B238" s="86"/>
      <c r="C238" s="149" t="s">
        <v>337</v>
      </c>
      <c r="D238" s="145"/>
      <c r="E238" s="76">
        <f>(E234*E236)/(E235*E237)</f>
        <v>20.255685447808865</v>
      </c>
      <c r="F238" s="77" t="s">
        <v>229</v>
      </c>
      <c r="G238" s="23"/>
      <c r="I238" s="52"/>
      <c r="J238" s="52"/>
      <c r="K238" s="52"/>
      <c r="L238" s="52"/>
      <c r="M238" s="52"/>
      <c r="N238" s="52"/>
      <c r="O238" s="52"/>
    </row>
    <row r="239" spans="1:15" s="1" customFormat="1">
      <c r="A239" s="52"/>
      <c r="B239" s="86"/>
      <c r="C239" s="149" t="s">
        <v>282</v>
      </c>
      <c r="D239" s="145"/>
      <c r="E239" s="76">
        <f>E238*E237/12</f>
        <v>4227.7666666666664</v>
      </c>
      <c r="F239" s="77" t="s">
        <v>229</v>
      </c>
      <c r="G239" s="23"/>
      <c r="I239" s="52"/>
      <c r="J239" s="52"/>
      <c r="K239" s="52"/>
      <c r="L239" s="52"/>
      <c r="M239" s="52"/>
      <c r="N239" s="52"/>
      <c r="O239" s="52"/>
    </row>
    <row r="240" spans="1:15" s="1" customFormat="1">
      <c r="A240" s="52"/>
      <c r="B240" s="86"/>
      <c r="C240" s="149" t="s">
        <v>338</v>
      </c>
      <c r="D240" s="145"/>
      <c r="E240" s="76">
        <f>E239*E233</f>
        <v>16911.066666666666</v>
      </c>
      <c r="F240" s="77" t="s">
        <v>229</v>
      </c>
      <c r="G240" s="23"/>
      <c r="I240" s="52"/>
      <c r="J240" s="52"/>
      <c r="K240" s="52"/>
      <c r="L240" s="52"/>
      <c r="M240" s="52"/>
      <c r="N240" s="52"/>
      <c r="O240" s="52"/>
    </row>
    <row r="241" spans="1:15" s="1" customFormat="1">
      <c r="A241" s="52"/>
      <c r="B241" s="86"/>
      <c r="C241" s="19"/>
      <c r="D241" s="19"/>
      <c r="E241" s="19"/>
      <c r="F241" s="93"/>
      <c r="G241" s="23"/>
      <c r="I241" s="52"/>
      <c r="J241" s="52"/>
      <c r="K241" s="52"/>
      <c r="L241" s="52"/>
      <c r="M241" s="52"/>
      <c r="N241" s="52"/>
      <c r="O241" s="52"/>
    </row>
    <row r="242" spans="1:15" s="1" customFormat="1">
      <c r="A242" s="52"/>
      <c r="B242" s="86"/>
      <c r="C242" s="19"/>
      <c r="D242" s="84" t="s">
        <v>346</v>
      </c>
      <c r="E242" s="76">
        <f>E240</f>
        <v>16911.066666666666</v>
      </c>
      <c r="F242" s="77" t="s">
        <v>229</v>
      </c>
      <c r="G242" s="23"/>
      <c r="I242" s="52"/>
      <c r="J242" s="52"/>
      <c r="K242" s="52"/>
      <c r="L242" s="52"/>
      <c r="M242" s="52"/>
      <c r="N242" s="52"/>
      <c r="O242" s="52"/>
    </row>
    <row r="243" spans="1:15" s="1" customFormat="1">
      <c r="A243" s="52"/>
      <c r="B243" s="86"/>
      <c r="C243" s="19"/>
      <c r="D243" s="344" t="s">
        <v>347</v>
      </c>
      <c r="E243" s="171">
        <f>E8*E242</f>
        <v>202932.8</v>
      </c>
      <c r="F243" s="77" t="s">
        <v>229</v>
      </c>
      <c r="G243" s="23"/>
      <c r="I243" s="52"/>
      <c r="J243" s="52"/>
      <c r="K243" s="52"/>
      <c r="L243" s="52"/>
      <c r="M243" s="52"/>
      <c r="N243" s="52"/>
      <c r="O243" s="52"/>
    </row>
    <row r="244" spans="1:15" s="1" customFormat="1" hidden="1">
      <c r="A244" s="52"/>
      <c r="B244" s="86"/>
      <c r="C244" s="19"/>
      <c r="D244" s="19"/>
      <c r="E244" s="19"/>
      <c r="F244" s="93"/>
      <c r="G244" s="23"/>
      <c r="I244" s="52"/>
      <c r="J244" s="52"/>
      <c r="K244" s="52"/>
      <c r="L244" s="52"/>
      <c r="M244" s="52"/>
      <c r="N244" s="52"/>
      <c r="O244" s="52"/>
    </row>
    <row r="245" spans="1:15" s="1" customFormat="1" hidden="1">
      <c r="A245" s="52"/>
      <c r="B245" s="86"/>
      <c r="C245" s="19"/>
      <c r="D245" s="19"/>
      <c r="E245" s="19"/>
      <c r="F245" s="93"/>
      <c r="G245" s="23"/>
      <c r="I245" s="52"/>
      <c r="J245" s="52"/>
      <c r="K245" s="52"/>
      <c r="L245" s="52"/>
      <c r="M245" s="52"/>
      <c r="N245" s="52"/>
      <c r="O245" s="52"/>
    </row>
    <row r="246" spans="1:15" s="1" customFormat="1" hidden="1">
      <c r="A246" s="52"/>
      <c r="B246" s="350" t="s">
        <v>348</v>
      </c>
      <c r="C246" s="144" t="s">
        <v>325</v>
      </c>
      <c r="D246" s="145"/>
      <c r="E246" s="72">
        <v>0</v>
      </c>
      <c r="F246" s="77" t="s">
        <v>301</v>
      </c>
      <c r="G246" s="23"/>
      <c r="I246" s="52"/>
      <c r="J246" s="52"/>
      <c r="K246" s="52"/>
      <c r="L246" s="52"/>
      <c r="M246" s="52"/>
      <c r="N246" s="52"/>
      <c r="O246" s="52"/>
    </row>
    <row r="247" spans="1:15" hidden="1">
      <c r="A247" s="52"/>
      <c r="B247" s="165"/>
      <c r="C247" s="149" t="s">
        <v>349</v>
      </c>
      <c r="D247" s="145"/>
      <c r="E247" s="170">
        <f>(('DADOS DE ENTRADA'!H60+'DADOS DE ENTRADA'!H61)/E8)*E246</f>
        <v>0</v>
      </c>
      <c r="F247" s="77" t="s">
        <v>229</v>
      </c>
      <c r="G247" s="183"/>
    </row>
    <row r="248" spans="1:15" hidden="1">
      <c r="A248" s="52"/>
      <c r="B248" s="86"/>
      <c r="C248" s="149" t="s">
        <v>350</v>
      </c>
      <c r="D248" s="145"/>
      <c r="E248" s="72">
        <f>'DADOS DE ENTRADA'!H62+'DADOS DE ENTRADA'!H67</f>
        <v>230</v>
      </c>
      <c r="F248" s="77" t="s">
        <v>229</v>
      </c>
      <c r="G248" s="23"/>
    </row>
    <row r="249" spans="1:15" hidden="1">
      <c r="A249" s="52"/>
      <c r="B249" s="86"/>
      <c r="C249" s="149" t="s">
        <v>338</v>
      </c>
      <c r="D249" s="145"/>
      <c r="E249" s="76">
        <f>(E246*E248)+E247</f>
        <v>0</v>
      </c>
      <c r="F249" s="77" t="s">
        <v>229</v>
      </c>
      <c r="G249" s="23"/>
    </row>
    <row r="250" spans="1:15" hidden="1">
      <c r="A250" s="52"/>
      <c r="B250" s="86"/>
      <c r="C250" s="19"/>
      <c r="D250" s="19"/>
      <c r="E250" s="19"/>
      <c r="F250" s="93"/>
      <c r="G250" s="23"/>
    </row>
    <row r="251" spans="1:15" hidden="1">
      <c r="A251" s="52"/>
      <c r="B251" s="86"/>
      <c r="C251" s="19"/>
      <c r="D251" s="84" t="s">
        <v>351</v>
      </c>
      <c r="E251" s="76">
        <f>E249</f>
        <v>0</v>
      </c>
      <c r="F251" s="77" t="s">
        <v>229</v>
      </c>
      <c r="G251" s="23"/>
    </row>
    <row r="252" spans="1:15" hidden="1">
      <c r="A252" s="52"/>
      <c r="B252" s="86"/>
      <c r="C252" s="19"/>
      <c r="D252" s="344" t="s">
        <v>352</v>
      </c>
      <c r="E252" s="171">
        <f>E251*E8</f>
        <v>0</v>
      </c>
      <c r="F252" s="77" t="s">
        <v>229</v>
      </c>
      <c r="G252" s="183"/>
    </row>
    <row r="253" spans="1:15" hidden="1">
      <c r="A253" s="52"/>
      <c r="B253" s="86"/>
      <c r="C253" s="19"/>
      <c r="D253" s="19"/>
      <c r="E253" s="19"/>
      <c r="F253" s="93"/>
      <c r="G253" s="23"/>
    </row>
    <row r="254" spans="1:15">
      <c r="A254" s="34"/>
      <c r="B254" s="86"/>
      <c r="C254" s="16" t="s">
        <v>353</v>
      </c>
      <c r="D254" s="74"/>
      <c r="E254" s="19"/>
      <c r="F254" s="93"/>
      <c r="G254" s="23"/>
    </row>
    <row r="255" spans="1:15">
      <c r="A255" s="52"/>
      <c r="B255" s="86"/>
      <c r="C255" s="17"/>
      <c r="D255" s="352" t="s">
        <v>354</v>
      </c>
      <c r="E255" s="172">
        <f>+E198+E214+E228+E242+E251</f>
        <v>49861.437866666667</v>
      </c>
      <c r="F255" s="77" t="s">
        <v>229</v>
      </c>
      <c r="G255" s="23"/>
    </row>
    <row r="256" spans="1:15" ht="12" thickBot="1">
      <c r="A256" s="52"/>
      <c r="B256" s="174"/>
      <c r="C256" s="25"/>
      <c r="D256" s="353" t="s">
        <v>355</v>
      </c>
      <c r="E256" s="172">
        <f>E8*E255</f>
        <v>598337.25439999998</v>
      </c>
      <c r="F256" s="175" t="s">
        <v>229</v>
      </c>
      <c r="G256" s="29"/>
    </row>
    <row r="257" spans="1:15">
      <c r="B257" s="52"/>
      <c r="D257" s="40"/>
      <c r="F257" s="100"/>
    </row>
    <row r="258" spans="1:15">
      <c r="A258" s="52"/>
      <c r="B258" s="405" t="s">
        <v>356</v>
      </c>
      <c r="C258" s="406"/>
      <c r="D258" s="406"/>
      <c r="E258" s="406"/>
      <c r="F258" s="406"/>
      <c r="G258" s="406"/>
      <c r="H258" s="406"/>
    </row>
    <row r="259" spans="1:15" ht="12.75" customHeight="1" thickBot="1"/>
    <row r="260" spans="1:15" ht="12.75" customHeight="1">
      <c r="A260" s="52"/>
      <c r="B260" s="349" t="s">
        <v>357</v>
      </c>
      <c r="C260" s="13"/>
      <c r="D260" s="13"/>
      <c r="E260" s="13"/>
      <c r="F260" s="140"/>
      <c r="G260" s="14"/>
    </row>
    <row r="261" spans="1:15" ht="12.75" customHeight="1">
      <c r="A261" s="52"/>
      <c r="B261" s="86"/>
      <c r="C261" s="19"/>
      <c r="D261" s="19"/>
      <c r="E261" s="19"/>
      <c r="F261" s="93"/>
      <c r="G261" s="23"/>
    </row>
    <row r="262" spans="1:15" ht="12.75" customHeight="1">
      <c r="A262" s="52"/>
      <c r="B262" s="86"/>
      <c r="C262" s="144" t="s">
        <v>325</v>
      </c>
      <c r="D262" s="145"/>
      <c r="E262" s="72">
        <f>E233</f>
        <v>4</v>
      </c>
      <c r="F262" s="93"/>
      <c r="G262" s="23"/>
    </row>
    <row r="263" spans="1:15" s="1" customFormat="1" ht="12.75" customHeight="1">
      <c r="A263" s="52"/>
      <c r="B263" s="86"/>
      <c r="C263" s="354" t="s">
        <v>358</v>
      </c>
      <c r="D263" s="145"/>
      <c r="E263" s="176">
        <f>'01-Coleta domiciliar'!E441</f>
        <v>6.59</v>
      </c>
      <c r="F263" s="77" t="s">
        <v>359</v>
      </c>
      <c r="G263" s="23"/>
      <c r="I263" s="52"/>
      <c r="J263" s="52"/>
      <c r="K263" s="52"/>
      <c r="L263" s="52"/>
      <c r="M263" s="52"/>
      <c r="N263" s="52"/>
      <c r="O263" s="52"/>
    </row>
    <row r="264" spans="1:15" s="1" customFormat="1" ht="12.75" customHeight="1">
      <c r="A264" s="52"/>
      <c r="B264" s="86"/>
      <c r="C264" s="144" t="s">
        <v>360</v>
      </c>
      <c r="D264" s="145"/>
      <c r="E264" s="169">
        <f>E11</f>
        <v>5000</v>
      </c>
      <c r="F264" s="77" t="s">
        <v>361</v>
      </c>
      <c r="G264" s="23"/>
      <c r="I264" s="52"/>
      <c r="J264" s="52"/>
      <c r="K264" s="52"/>
      <c r="L264" s="52"/>
      <c r="M264" s="52"/>
      <c r="N264" s="52"/>
      <c r="O264" s="52"/>
    </row>
    <row r="265" spans="1:15" s="1" customFormat="1" ht="12.75" customHeight="1">
      <c r="A265" s="52"/>
      <c r="B265" s="86"/>
      <c r="C265" s="354" t="s">
        <v>462</v>
      </c>
      <c r="D265" s="145"/>
      <c r="E265" s="72">
        <v>2.4</v>
      </c>
      <c r="F265" s="77" t="s">
        <v>363</v>
      </c>
      <c r="G265" s="23"/>
      <c r="I265" s="52"/>
      <c r="J265" s="52"/>
      <c r="K265" s="52"/>
      <c r="L265" s="52"/>
      <c r="M265" s="52"/>
      <c r="N265" s="52"/>
      <c r="O265" s="52"/>
    </row>
    <row r="266" spans="1:15" s="1" customFormat="1" ht="12.75" customHeight="1">
      <c r="A266" s="52"/>
      <c r="B266" s="86"/>
      <c r="C266" s="149" t="s">
        <v>337</v>
      </c>
      <c r="D266" s="84"/>
      <c r="E266" s="172">
        <f>(E263*E264)/E265</f>
        <v>13729.166666666668</v>
      </c>
      <c r="F266" s="77" t="s">
        <v>229</v>
      </c>
      <c r="G266" s="23"/>
      <c r="I266" s="52"/>
      <c r="J266" s="52"/>
      <c r="K266" s="52"/>
      <c r="L266" s="52"/>
      <c r="M266" s="52"/>
      <c r="N266" s="52"/>
      <c r="O266" s="52"/>
    </row>
    <row r="267" spans="1:15" s="1" customFormat="1" ht="12.75" customHeight="1">
      <c r="A267" s="52"/>
      <c r="B267" s="86"/>
      <c r="C267" s="354" t="s">
        <v>364</v>
      </c>
      <c r="D267" s="84"/>
      <c r="E267" s="172">
        <f>E266</f>
        <v>13729.166666666668</v>
      </c>
      <c r="F267" s="77" t="s">
        <v>229</v>
      </c>
      <c r="G267" s="23"/>
      <c r="I267" s="52"/>
      <c r="J267" s="52"/>
      <c r="K267" s="52"/>
      <c r="L267" s="52"/>
      <c r="M267" s="52"/>
      <c r="N267" s="52"/>
      <c r="O267" s="52"/>
    </row>
    <row r="268" spans="1:15" s="1" customFormat="1" ht="12.75" customHeight="1">
      <c r="A268" s="52"/>
      <c r="B268" s="86"/>
      <c r="C268" s="19"/>
      <c r="D268" s="19"/>
      <c r="E268" s="19"/>
      <c r="F268" s="93"/>
      <c r="G268" s="23"/>
      <c r="I268" s="52"/>
      <c r="J268" s="52"/>
      <c r="K268" s="52"/>
      <c r="L268" s="52"/>
      <c r="M268" s="52"/>
      <c r="N268" s="52"/>
      <c r="O268" s="52"/>
    </row>
    <row r="269" spans="1:15" s="1" customFormat="1" ht="12.75" customHeight="1">
      <c r="A269" s="52"/>
      <c r="B269" s="86"/>
      <c r="C269" s="19"/>
      <c r="D269" s="84" t="s">
        <v>365</v>
      </c>
      <c r="E269" s="76">
        <f>E267</f>
        <v>13729.166666666668</v>
      </c>
      <c r="F269" s="93"/>
      <c r="G269" s="23"/>
      <c r="I269" s="52"/>
      <c r="J269" s="52"/>
      <c r="K269" s="52"/>
      <c r="L269" s="52"/>
      <c r="M269" s="52"/>
      <c r="N269" s="52"/>
      <c r="O269" s="52"/>
    </row>
    <row r="270" spans="1:15" s="1" customFormat="1" ht="12.75" customHeight="1">
      <c r="A270" s="52"/>
      <c r="B270" s="86"/>
      <c r="C270" s="19"/>
      <c r="D270" s="344" t="s">
        <v>366</v>
      </c>
      <c r="E270" s="76">
        <f>E8*E269</f>
        <v>164750</v>
      </c>
      <c r="F270" s="93"/>
      <c r="G270" s="23"/>
      <c r="I270" s="52"/>
      <c r="J270" s="52"/>
      <c r="K270" s="52"/>
      <c r="L270" s="52"/>
      <c r="M270" s="52"/>
      <c r="N270" s="52"/>
      <c r="O270" s="52"/>
    </row>
    <row r="271" spans="1:15" s="1" customFormat="1" ht="12.75" customHeight="1">
      <c r="A271" s="52"/>
      <c r="B271" s="86"/>
      <c r="C271" s="19"/>
      <c r="D271" s="344"/>
      <c r="E271" s="93"/>
      <c r="F271" s="93"/>
      <c r="G271" s="23"/>
      <c r="I271" s="52"/>
      <c r="J271" s="52"/>
      <c r="K271" s="52"/>
      <c r="L271" s="52"/>
      <c r="M271" s="52"/>
      <c r="N271" s="52"/>
      <c r="O271" s="52"/>
    </row>
    <row r="272" spans="1:15" s="1" customFormat="1" ht="12.75" customHeight="1">
      <c r="A272" s="52"/>
      <c r="B272" s="86"/>
      <c r="C272" s="19"/>
      <c r="D272" s="344"/>
      <c r="E272" s="93"/>
      <c r="F272" s="93"/>
      <c r="G272" s="23"/>
      <c r="I272" s="52"/>
      <c r="J272" s="52"/>
      <c r="K272" s="52"/>
      <c r="L272" s="52"/>
      <c r="M272" s="52"/>
      <c r="N272" s="52"/>
      <c r="O272" s="52"/>
    </row>
    <row r="273" spans="1:15" s="1" customFormat="1" ht="12.75" hidden="1" customHeight="1">
      <c r="A273" s="52"/>
      <c r="B273" s="86" t="s">
        <v>494</v>
      </c>
      <c r="C273" s="19"/>
      <c r="D273" s="344"/>
      <c r="E273" s="344"/>
      <c r="F273" s="93"/>
      <c r="G273" s="23"/>
      <c r="I273" s="52"/>
      <c r="J273" s="52"/>
      <c r="K273" s="52"/>
      <c r="L273" s="52"/>
      <c r="M273" s="52"/>
      <c r="N273" s="52"/>
      <c r="O273" s="52"/>
    </row>
    <row r="274" spans="1:15" s="1" customFormat="1" ht="12.75" customHeight="1">
      <c r="A274" s="52"/>
      <c r="B274" s="86"/>
      <c r="C274" s="144" t="s">
        <v>325</v>
      </c>
      <c r="D274" s="145"/>
      <c r="E274" s="72">
        <f>E262</f>
        <v>4</v>
      </c>
      <c r="F274" s="93"/>
      <c r="G274" s="23"/>
      <c r="I274" s="52"/>
      <c r="J274" s="52"/>
      <c r="K274" s="52"/>
      <c r="L274" s="52"/>
      <c r="M274" s="52"/>
      <c r="N274" s="52"/>
      <c r="O274" s="52"/>
    </row>
    <row r="275" spans="1:15" s="1" customFormat="1" ht="12" customHeight="1">
      <c r="A275" s="91"/>
      <c r="B275" s="86"/>
      <c r="C275" s="354" t="s">
        <v>495</v>
      </c>
      <c r="D275" s="145"/>
      <c r="E275" s="176">
        <f>'01-Coleta domiciliar'!E459</f>
        <v>17940</v>
      </c>
      <c r="F275" s="77" t="s">
        <v>229</v>
      </c>
      <c r="G275" s="23"/>
      <c r="I275" s="52"/>
      <c r="J275" s="52"/>
      <c r="K275" s="52"/>
      <c r="L275" s="52"/>
      <c r="M275" s="52"/>
      <c r="N275" s="52"/>
      <c r="O275" s="52"/>
    </row>
    <row r="276" spans="1:15" s="1" customFormat="1" ht="12" customHeight="1">
      <c r="A276" s="91"/>
      <c r="B276" s="86"/>
      <c r="C276" s="144" t="s">
        <v>360</v>
      </c>
      <c r="D276" s="145"/>
      <c r="E276" s="169">
        <f>E264</f>
        <v>5000</v>
      </c>
      <c r="F276" s="77" t="s">
        <v>361</v>
      </c>
      <c r="G276" s="23"/>
      <c r="I276" s="52"/>
      <c r="J276" s="52"/>
      <c r="K276" s="52"/>
      <c r="L276" s="52"/>
      <c r="M276" s="52"/>
      <c r="N276" s="52"/>
      <c r="O276" s="52"/>
    </row>
    <row r="277" spans="1:15" s="1" customFormat="1" ht="12" customHeight="1">
      <c r="A277" s="91"/>
      <c r="B277" s="86"/>
      <c r="C277" s="354" t="s">
        <v>496</v>
      </c>
      <c r="D277" s="145"/>
      <c r="E277" s="72">
        <v>40000</v>
      </c>
      <c r="F277" s="77" t="s">
        <v>498</v>
      </c>
      <c r="G277" s="23"/>
      <c r="I277" s="52"/>
      <c r="J277" s="52"/>
      <c r="K277" s="52"/>
      <c r="L277" s="52"/>
      <c r="M277" s="52"/>
      <c r="N277" s="52"/>
      <c r="O277" s="52"/>
    </row>
    <row r="278" spans="1:15" s="1" customFormat="1" ht="12" customHeight="1">
      <c r="A278" s="91"/>
      <c r="B278" s="86"/>
      <c r="C278" s="149" t="s">
        <v>497</v>
      </c>
      <c r="D278" s="84"/>
      <c r="E278" s="172">
        <f>(E275*E276)/E277</f>
        <v>2242.5</v>
      </c>
      <c r="F278" s="77" t="s">
        <v>229</v>
      </c>
      <c r="G278" s="23"/>
      <c r="I278" s="52"/>
      <c r="J278" s="52"/>
      <c r="K278" s="52"/>
      <c r="L278" s="52"/>
      <c r="M278" s="52"/>
      <c r="N278" s="52"/>
      <c r="O278" s="52"/>
    </row>
    <row r="279" spans="1:15" s="1" customFormat="1" ht="12" customHeight="1">
      <c r="A279" s="91"/>
      <c r="B279" s="86"/>
      <c r="C279" s="354" t="s">
        <v>364</v>
      </c>
      <c r="D279" s="84"/>
      <c r="E279" s="172">
        <f>E278</f>
        <v>2242.5</v>
      </c>
      <c r="F279" s="77" t="s">
        <v>229</v>
      </c>
      <c r="G279" s="23"/>
      <c r="I279" s="52"/>
      <c r="J279" s="52"/>
      <c r="K279" s="52"/>
      <c r="L279" s="52"/>
      <c r="M279" s="52"/>
      <c r="N279" s="52"/>
      <c r="O279" s="52"/>
    </row>
    <row r="280" spans="1:15" s="1" customFormat="1" ht="12" customHeight="1">
      <c r="A280" s="91"/>
      <c r="B280" s="86"/>
      <c r="C280" s="19"/>
      <c r="D280" s="19"/>
      <c r="E280" s="19"/>
      <c r="F280" s="93"/>
      <c r="G280" s="23"/>
      <c r="I280" s="52"/>
      <c r="J280" s="52"/>
      <c r="K280" s="52"/>
      <c r="L280" s="52"/>
      <c r="M280" s="52"/>
      <c r="N280" s="52"/>
      <c r="O280" s="52"/>
    </row>
    <row r="281" spans="1:15" s="1" customFormat="1" ht="12" customHeight="1">
      <c r="A281" s="91"/>
      <c r="B281" s="86"/>
      <c r="C281" s="19"/>
      <c r="D281" s="84" t="s">
        <v>393</v>
      </c>
      <c r="E281" s="76">
        <f>E279</f>
        <v>2242.5</v>
      </c>
      <c r="F281" s="93"/>
      <c r="G281" s="23"/>
      <c r="I281" s="52"/>
      <c r="J281" s="52"/>
      <c r="K281" s="52"/>
      <c r="L281" s="52"/>
      <c r="M281" s="52"/>
      <c r="N281" s="52"/>
      <c r="O281" s="52"/>
    </row>
    <row r="282" spans="1:15" s="1" customFormat="1">
      <c r="A282" s="52"/>
      <c r="B282" s="86"/>
      <c r="C282" s="19"/>
      <c r="D282" s="344" t="s">
        <v>394</v>
      </c>
      <c r="E282" s="76">
        <f>E281*12</f>
        <v>26910</v>
      </c>
      <c r="F282" s="93"/>
      <c r="G282" s="23"/>
      <c r="I282" s="52"/>
      <c r="J282" s="52"/>
      <c r="K282" s="52"/>
      <c r="L282" s="52"/>
      <c r="M282" s="52"/>
      <c r="N282" s="52"/>
      <c r="O282" s="52"/>
    </row>
    <row r="283" spans="1:15" s="1" customFormat="1">
      <c r="A283" s="52"/>
      <c r="B283" s="86"/>
      <c r="C283" s="19"/>
      <c r="D283" s="344"/>
      <c r="E283" s="19"/>
      <c r="F283" s="93"/>
      <c r="G283" s="23"/>
      <c r="I283" s="52"/>
      <c r="J283" s="52"/>
      <c r="K283" s="52"/>
      <c r="L283" s="52"/>
      <c r="M283" s="52"/>
      <c r="N283" s="52"/>
      <c r="O283" s="52"/>
    </row>
    <row r="284" spans="1:15" s="1" customFormat="1">
      <c r="B284" s="350" t="s">
        <v>499</v>
      </c>
      <c r="C284" s="792" t="s">
        <v>463</v>
      </c>
      <c r="D284" s="793"/>
      <c r="E284" s="142">
        <v>0.1</v>
      </c>
      <c r="F284" s="93"/>
      <c r="G284" s="23"/>
      <c r="I284" s="52"/>
      <c r="J284" s="52"/>
      <c r="K284" s="52"/>
      <c r="L284" s="52"/>
      <c r="M284" s="52"/>
      <c r="N284" s="52"/>
      <c r="O284" s="52"/>
    </row>
    <row r="285" spans="1:15" s="1" customFormat="1">
      <c r="B285" s="153"/>
      <c r="C285" s="19"/>
      <c r="D285" s="19"/>
      <c r="E285" s="77"/>
      <c r="F285" s="93"/>
      <c r="G285" s="23"/>
      <c r="I285" s="52"/>
      <c r="J285" s="52"/>
      <c r="K285" s="52"/>
      <c r="L285" s="52"/>
      <c r="M285" s="52"/>
      <c r="N285" s="52"/>
      <c r="O285" s="52"/>
    </row>
    <row r="286" spans="1:15" s="1" customFormat="1">
      <c r="B286" s="153"/>
      <c r="C286" s="144" t="s">
        <v>325</v>
      </c>
      <c r="D286" s="79"/>
      <c r="E286" s="72">
        <v>2</v>
      </c>
      <c r="F286" s="77"/>
      <c r="G286" s="23"/>
      <c r="I286" s="52"/>
      <c r="J286" s="52"/>
      <c r="K286" s="52"/>
      <c r="L286" s="52"/>
      <c r="M286" s="52"/>
      <c r="N286" s="52"/>
      <c r="O286" s="52"/>
    </row>
    <row r="287" spans="1:15" s="1" customFormat="1">
      <c r="B287" s="153"/>
      <c r="C287" s="149" t="s">
        <v>337</v>
      </c>
      <c r="D287" s="79"/>
      <c r="E287" s="76">
        <f>(E284*E242)/2</f>
        <v>845.55333333333328</v>
      </c>
      <c r="F287" s="77"/>
      <c r="G287" s="23"/>
      <c r="I287" s="52"/>
      <c r="J287" s="52"/>
      <c r="K287" s="52"/>
      <c r="L287" s="52"/>
      <c r="M287" s="52"/>
      <c r="N287" s="52"/>
      <c r="O287" s="52"/>
    </row>
    <row r="288" spans="1:15" s="1" customFormat="1">
      <c r="B288" s="153"/>
      <c r="C288" s="354" t="s">
        <v>364</v>
      </c>
      <c r="D288" s="79"/>
      <c r="E288" s="76">
        <f>E287*E286</f>
        <v>1691.1066666666666</v>
      </c>
      <c r="F288" s="77"/>
      <c r="G288" s="23"/>
      <c r="I288" s="52"/>
      <c r="J288" s="52"/>
      <c r="K288" s="52"/>
      <c r="L288" s="52"/>
      <c r="M288" s="52"/>
      <c r="N288" s="52"/>
      <c r="O288" s="52"/>
    </row>
    <row r="289" spans="1:15" s="1" customFormat="1">
      <c r="B289" s="153"/>
      <c r="C289" s="19"/>
      <c r="D289" s="19"/>
      <c r="E289" s="77"/>
      <c r="F289" s="93"/>
      <c r="G289" s="23"/>
      <c r="I289" s="52"/>
      <c r="J289" s="52"/>
      <c r="K289" s="52"/>
      <c r="L289" s="52"/>
      <c r="M289" s="52"/>
      <c r="N289" s="52"/>
      <c r="O289" s="52"/>
    </row>
    <row r="290" spans="1:15" s="1" customFormat="1">
      <c r="B290" s="153"/>
      <c r="C290" s="354" t="s">
        <v>368</v>
      </c>
      <c r="D290" s="79"/>
      <c r="E290" s="168">
        <v>20</v>
      </c>
      <c r="F290" s="77" t="s">
        <v>369</v>
      </c>
      <c r="G290" s="23"/>
      <c r="I290" s="52"/>
      <c r="J290" s="52"/>
      <c r="K290" s="52"/>
      <c r="L290" s="52"/>
      <c r="M290" s="52"/>
      <c r="N290" s="52"/>
      <c r="O290" s="52"/>
    </row>
    <row r="291" spans="1:15" s="1" customFormat="1">
      <c r="B291" s="153"/>
      <c r="C291" s="354" t="s">
        <v>370</v>
      </c>
      <c r="D291" s="79"/>
      <c r="E291" s="177">
        <v>17</v>
      </c>
      <c r="F291" s="77" t="s">
        <v>369</v>
      </c>
      <c r="G291" s="23"/>
      <c r="I291" s="52"/>
      <c r="J291" s="52"/>
      <c r="K291" s="52"/>
      <c r="L291" s="52"/>
      <c r="M291" s="52"/>
      <c r="N291" s="52"/>
      <c r="O291" s="52"/>
    </row>
    <row r="292" spans="1:15" s="1" customFormat="1">
      <c r="B292" s="153"/>
      <c r="C292" s="354" t="s">
        <v>371</v>
      </c>
      <c r="D292" s="79"/>
      <c r="E292" s="168">
        <v>14</v>
      </c>
      <c r="F292" s="77" t="s">
        <v>369</v>
      </c>
      <c r="G292" s="23"/>
      <c r="I292" s="52"/>
      <c r="J292" s="52"/>
      <c r="K292" s="52"/>
      <c r="L292" s="52"/>
      <c r="M292" s="52"/>
      <c r="N292" s="52"/>
      <c r="O292" s="52"/>
    </row>
    <row r="293" spans="1:15" s="1" customFormat="1">
      <c r="B293" s="153"/>
      <c r="C293" s="354" t="s">
        <v>372</v>
      </c>
      <c r="D293" s="79"/>
      <c r="E293" s="370">
        <v>3.3</v>
      </c>
      <c r="F293" s="77" t="s">
        <v>373</v>
      </c>
      <c r="G293" s="23"/>
      <c r="I293" s="52"/>
      <c r="J293" s="52"/>
      <c r="K293" s="52"/>
      <c r="L293" s="52"/>
      <c r="M293" s="52"/>
      <c r="N293" s="52"/>
      <c r="O293" s="52"/>
    </row>
    <row r="294" spans="1:15" s="1" customFormat="1">
      <c r="B294" s="153"/>
      <c r="C294" s="144" t="s">
        <v>374</v>
      </c>
      <c r="D294" s="79"/>
      <c r="E294" s="168">
        <v>10000</v>
      </c>
      <c r="F294" s="77" t="s">
        <v>361</v>
      </c>
      <c r="G294" s="23"/>
      <c r="I294" s="52"/>
      <c r="J294" s="52"/>
      <c r="K294" s="52"/>
      <c r="L294" s="52"/>
      <c r="M294" s="52"/>
      <c r="N294" s="52"/>
      <c r="O294" s="52"/>
    </row>
    <row r="295" spans="1:15" s="1" customFormat="1">
      <c r="B295" s="153"/>
      <c r="C295" s="354" t="s">
        <v>375</v>
      </c>
      <c r="D295" s="79"/>
      <c r="E295" s="177">
        <f>+E290/E294</f>
        <v>2E-3</v>
      </c>
      <c r="F295" s="77" t="s">
        <v>376</v>
      </c>
      <c r="G295" s="23"/>
      <c r="I295" s="52"/>
      <c r="J295" s="52"/>
      <c r="K295" s="52"/>
      <c r="L295" s="52"/>
      <c r="M295" s="52"/>
      <c r="N295" s="52"/>
      <c r="O295" s="52"/>
    </row>
    <row r="296" spans="1:15" s="1" customFormat="1">
      <c r="B296" s="153"/>
      <c r="C296" s="354" t="s">
        <v>377</v>
      </c>
      <c r="D296" s="79"/>
      <c r="E296" s="177">
        <f>+E291/E294</f>
        <v>1.6999999999999999E-3</v>
      </c>
      <c r="F296" s="77" t="s">
        <v>376</v>
      </c>
      <c r="G296" s="23"/>
      <c r="I296" s="52"/>
      <c r="J296" s="52"/>
      <c r="K296" s="52"/>
      <c r="L296" s="52"/>
      <c r="M296" s="52"/>
      <c r="N296" s="52"/>
      <c r="O296" s="52"/>
    </row>
    <row r="297" spans="1:15" s="1" customFormat="1">
      <c r="B297" s="153"/>
      <c r="C297" s="354" t="s">
        <v>378</v>
      </c>
      <c r="D297" s="79"/>
      <c r="E297" s="177">
        <f>+E292/E294</f>
        <v>1.4E-3</v>
      </c>
      <c r="F297" s="77" t="s">
        <v>376</v>
      </c>
      <c r="G297" s="23"/>
      <c r="I297" s="52"/>
      <c r="J297" s="52"/>
      <c r="K297" s="52"/>
      <c r="L297" s="52"/>
      <c r="M297" s="52"/>
      <c r="N297" s="52"/>
      <c r="O297" s="52"/>
    </row>
    <row r="298" spans="1:15" s="1" customFormat="1">
      <c r="B298" s="153"/>
      <c r="C298" s="354" t="s">
        <v>379</v>
      </c>
      <c r="D298" s="79"/>
      <c r="E298" s="177">
        <f>+E293/E294</f>
        <v>3.3E-4</v>
      </c>
      <c r="F298" s="351" t="s">
        <v>380</v>
      </c>
      <c r="G298" s="23"/>
      <c r="I298" s="52"/>
      <c r="J298" s="52"/>
      <c r="K298" s="52"/>
      <c r="L298" s="52"/>
      <c r="M298" s="52"/>
      <c r="N298" s="52"/>
      <c r="O298" s="52"/>
    </row>
    <row r="299" spans="1:15" s="1" customFormat="1">
      <c r="B299" s="153"/>
      <c r="C299" s="354" t="s">
        <v>381</v>
      </c>
      <c r="D299" s="178"/>
      <c r="E299" s="168">
        <v>21.41</v>
      </c>
      <c r="F299" s="77" t="s">
        <v>359</v>
      </c>
      <c r="G299" s="23"/>
      <c r="I299" s="52"/>
      <c r="J299" s="52"/>
      <c r="K299" s="52"/>
      <c r="L299" s="52"/>
      <c r="M299" s="52"/>
      <c r="N299" s="52"/>
      <c r="O299" s="52"/>
    </row>
    <row r="300" spans="1:15" s="1" customFormat="1">
      <c r="B300" s="153"/>
      <c r="C300" s="354" t="s">
        <v>382</v>
      </c>
      <c r="D300" s="178"/>
      <c r="E300" s="168">
        <v>19.399999999999999</v>
      </c>
      <c r="F300" s="77" t="s">
        <v>359</v>
      </c>
      <c r="G300" s="23"/>
      <c r="I300" s="52"/>
      <c r="J300" s="52"/>
      <c r="K300" s="52"/>
      <c r="L300" s="52"/>
      <c r="M300" s="52"/>
      <c r="N300" s="52"/>
      <c r="O300" s="52"/>
    </row>
    <row r="301" spans="1:15" s="1" customFormat="1">
      <c r="B301" s="153"/>
      <c r="C301" s="354" t="s">
        <v>383</v>
      </c>
      <c r="D301" s="178"/>
      <c r="E301" s="168">
        <v>17.91</v>
      </c>
      <c r="F301" s="77" t="s">
        <v>359</v>
      </c>
      <c r="G301" s="23"/>
      <c r="I301" s="52"/>
      <c r="J301" s="52"/>
      <c r="K301" s="52"/>
      <c r="L301" s="52"/>
      <c r="M301" s="52"/>
      <c r="N301" s="52"/>
      <c r="O301" s="52"/>
    </row>
    <row r="302" spans="1:15" s="1" customFormat="1">
      <c r="B302" s="153"/>
      <c r="C302" s="354" t="s">
        <v>384</v>
      </c>
      <c r="D302" s="178"/>
      <c r="E302" s="168">
        <v>25.8</v>
      </c>
      <c r="F302" s="77" t="s">
        <v>385</v>
      </c>
      <c r="G302" s="23"/>
      <c r="I302" s="52"/>
      <c r="J302" s="52"/>
      <c r="K302" s="52"/>
      <c r="L302" s="52"/>
      <c r="M302" s="52"/>
      <c r="N302" s="52"/>
      <c r="O302" s="52"/>
    </row>
    <row r="303" spans="1:15" s="1" customFormat="1">
      <c r="B303" s="153"/>
      <c r="C303" s="354" t="s">
        <v>386</v>
      </c>
      <c r="D303" s="79"/>
      <c r="E303" s="163">
        <f>+(E295*E299)+(E296*E300)+(E297*E301)+(E298*E302)</f>
        <v>0.10938800000000001</v>
      </c>
      <c r="F303" s="351" t="s">
        <v>387</v>
      </c>
      <c r="G303" s="23"/>
      <c r="I303" s="52"/>
      <c r="J303" s="52"/>
      <c r="K303" s="52"/>
      <c r="L303" s="52"/>
      <c r="M303" s="52"/>
      <c r="N303" s="52"/>
      <c r="O303" s="52"/>
    </row>
    <row r="304" spans="1:15" s="1" customFormat="1">
      <c r="A304" s="52"/>
      <c r="B304" s="153"/>
      <c r="C304" s="144" t="s">
        <v>360</v>
      </c>
      <c r="D304" s="22"/>
      <c r="E304" s="169">
        <f>E11</f>
        <v>5000</v>
      </c>
      <c r="F304" s="77" t="s">
        <v>361</v>
      </c>
      <c r="G304" s="23"/>
      <c r="I304" s="52"/>
      <c r="J304" s="52"/>
      <c r="K304" s="52"/>
      <c r="L304" s="52"/>
      <c r="M304" s="52"/>
      <c r="N304" s="52"/>
      <c r="O304" s="52"/>
    </row>
    <row r="305" spans="1:15" s="1" customFormat="1">
      <c r="A305" s="52"/>
      <c r="B305" s="143"/>
      <c r="C305" s="354" t="s">
        <v>388</v>
      </c>
      <c r="D305" s="79"/>
      <c r="E305" s="172">
        <f>ROUND(+E303*E304,2)</f>
        <v>546.94000000000005</v>
      </c>
      <c r="F305" s="77" t="s">
        <v>229</v>
      </c>
      <c r="G305" s="23"/>
      <c r="I305" s="52"/>
      <c r="J305" s="52"/>
      <c r="K305" s="52"/>
      <c r="L305" s="52"/>
      <c r="M305" s="52"/>
      <c r="N305" s="52"/>
      <c r="O305" s="52"/>
    </row>
    <row r="306" spans="1:15" s="1" customFormat="1">
      <c r="A306" s="52"/>
      <c r="B306" s="143"/>
      <c r="C306" s="354" t="s">
        <v>389</v>
      </c>
      <c r="D306" s="22"/>
      <c r="E306" s="168">
        <v>10</v>
      </c>
      <c r="F306" s="77" t="s">
        <v>390</v>
      </c>
      <c r="G306" s="23"/>
      <c r="I306" s="52"/>
      <c r="J306" s="52"/>
      <c r="K306" s="52"/>
      <c r="L306" s="52"/>
      <c r="M306" s="52"/>
      <c r="N306" s="52"/>
      <c r="O306" s="52"/>
    </row>
    <row r="307" spans="1:15" s="1" customFormat="1">
      <c r="A307" s="52"/>
      <c r="B307" s="143"/>
      <c r="C307" s="144" t="s">
        <v>391</v>
      </c>
      <c r="D307" s="22"/>
      <c r="E307" s="172">
        <f>ROUND(+E305*E306/100,2)</f>
        <v>54.69</v>
      </c>
      <c r="F307" s="77" t="s">
        <v>229</v>
      </c>
      <c r="G307" s="23"/>
      <c r="I307" s="52"/>
      <c r="J307" s="52"/>
      <c r="K307" s="52"/>
      <c r="L307" s="52"/>
      <c r="M307" s="52"/>
      <c r="N307" s="52"/>
      <c r="O307" s="52"/>
    </row>
    <row r="308" spans="1:15" s="1" customFormat="1">
      <c r="A308" s="52"/>
      <c r="B308" s="143"/>
      <c r="C308" s="144" t="s">
        <v>392</v>
      </c>
      <c r="D308" s="22"/>
      <c r="E308" s="172">
        <f>E305+E307</f>
        <v>601.63000000000011</v>
      </c>
      <c r="F308" s="77"/>
      <c r="G308" s="23"/>
      <c r="I308" s="52"/>
      <c r="J308" s="52"/>
      <c r="K308" s="52"/>
      <c r="L308" s="52"/>
      <c r="M308" s="52"/>
      <c r="N308" s="52"/>
      <c r="O308" s="52"/>
    </row>
    <row r="309" spans="1:15" s="1" customFormat="1">
      <c r="A309" s="52"/>
      <c r="B309" s="143"/>
      <c r="C309" s="354" t="s">
        <v>364</v>
      </c>
      <c r="D309" s="22"/>
      <c r="E309" s="76">
        <f>E308*E286</f>
        <v>1203.2600000000002</v>
      </c>
      <c r="F309" s="77"/>
      <c r="G309" s="23"/>
      <c r="I309" s="52"/>
      <c r="J309" s="52"/>
      <c r="K309" s="52"/>
      <c r="L309" s="52"/>
      <c r="M309" s="52"/>
      <c r="N309" s="52"/>
      <c r="O309" s="52"/>
    </row>
    <row r="310" spans="1:15" s="1" customFormat="1">
      <c r="A310" s="52"/>
      <c r="B310" s="143"/>
      <c r="C310" s="144"/>
      <c r="D310" s="22"/>
      <c r="E310" s="22"/>
      <c r="F310" s="77"/>
      <c r="G310" s="23"/>
      <c r="I310" s="52"/>
      <c r="J310" s="52"/>
      <c r="K310" s="52"/>
      <c r="L310" s="52"/>
      <c r="M310" s="52"/>
      <c r="N310" s="52"/>
      <c r="O310" s="52"/>
    </row>
    <row r="311" spans="1:15" s="1" customFormat="1">
      <c r="A311" s="52"/>
      <c r="B311" s="143"/>
      <c r="C311" s="19"/>
      <c r="D311" s="84" t="s">
        <v>500</v>
      </c>
      <c r="E311" s="76">
        <f>E287+E309</f>
        <v>2048.8133333333335</v>
      </c>
      <c r="F311" s="77" t="s">
        <v>229</v>
      </c>
      <c r="G311" s="23"/>
      <c r="I311" s="52"/>
      <c r="J311" s="52"/>
      <c r="K311" s="52"/>
      <c r="L311" s="52"/>
      <c r="M311" s="52"/>
      <c r="N311" s="52"/>
      <c r="O311" s="52"/>
    </row>
    <row r="312" spans="1:15" s="1" customFormat="1">
      <c r="A312" s="52"/>
      <c r="B312" s="143"/>
      <c r="C312" s="19"/>
      <c r="D312" s="344" t="s">
        <v>501</v>
      </c>
      <c r="E312" s="76">
        <f>E8*E311</f>
        <v>24585.760000000002</v>
      </c>
      <c r="F312" s="77" t="s">
        <v>229</v>
      </c>
      <c r="G312" s="23"/>
      <c r="I312" s="52"/>
      <c r="J312" s="52"/>
      <c r="K312" s="52"/>
      <c r="L312" s="52"/>
      <c r="M312" s="52"/>
      <c r="N312" s="52"/>
      <c r="O312" s="52"/>
    </row>
    <row r="313" spans="1:15" s="1" customFormat="1">
      <c r="A313" s="52"/>
      <c r="B313" s="143"/>
      <c r="C313" s="19"/>
      <c r="D313" s="19"/>
      <c r="E313" s="19"/>
      <c r="F313" s="93"/>
      <c r="G313" s="23"/>
      <c r="I313" s="52"/>
      <c r="J313" s="52"/>
      <c r="K313" s="52"/>
      <c r="L313" s="52"/>
      <c r="M313" s="52"/>
      <c r="N313" s="52"/>
      <c r="O313" s="52"/>
    </row>
    <row r="314" spans="1:15" s="1" customFormat="1">
      <c r="A314" s="3"/>
      <c r="B314" s="143"/>
      <c r="C314" s="16" t="s">
        <v>395</v>
      </c>
      <c r="D314" s="239"/>
      <c r="E314" s="74"/>
      <c r="F314" s="77"/>
      <c r="G314" s="23"/>
      <c r="I314" s="52"/>
      <c r="J314" s="52"/>
      <c r="K314" s="52"/>
      <c r="L314" s="52"/>
      <c r="M314" s="52"/>
      <c r="N314" s="52"/>
      <c r="O314" s="52"/>
    </row>
    <row r="315" spans="1:15" s="1" customFormat="1">
      <c r="A315" s="3"/>
      <c r="B315" s="153"/>
      <c r="C315" s="179"/>
      <c r="D315" s="344" t="s">
        <v>486</v>
      </c>
      <c r="E315" s="172">
        <f>E269+E311+E281</f>
        <v>18020.480000000003</v>
      </c>
      <c r="F315" s="77" t="s">
        <v>229</v>
      </c>
      <c r="G315" s="23"/>
      <c r="I315" s="52"/>
      <c r="J315" s="52"/>
      <c r="K315" s="52"/>
      <c r="L315" s="52"/>
      <c r="M315" s="52"/>
      <c r="N315" s="52"/>
      <c r="O315" s="52"/>
    </row>
    <row r="316" spans="1:15" s="1" customFormat="1">
      <c r="B316" s="153"/>
      <c r="C316" s="180"/>
      <c r="D316" s="344" t="s">
        <v>355</v>
      </c>
      <c r="E316" s="172">
        <f>E8*E315</f>
        <v>216245.76000000004</v>
      </c>
      <c r="F316" s="77" t="s">
        <v>229</v>
      </c>
      <c r="G316" s="23"/>
      <c r="I316" s="52"/>
      <c r="J316" s="52"/>
      <c r="K316" s="52"/>
      <c r="L316" s="52"/>
      <c r="M316" s="52"/>
      <c r="N316" s="52"/>
      <c r="O316" s="52"/>
    </row>
    <row r="317" spans="1:15" s="1" customFormat="1">
      <c r="A317" s="52"/>
      <c r="B317" s="86"/>
      <c r="C317" s="19"/>
      <c r="D317" s="19"/>
      <c r="E317" s="93"/>
      <c r="F317" s="80"/>
      <c r="G317" s="23"/>
      <c r="I317" s="52"/>
      <c r="J317" s="52"/>
      <c r="K317" s="52"/>
      <c r="L317" s="52"/>
      <c r="M317" s="52"/>
      <c r="N317" s="52"/>
      <c r="O317" s="52"/>
    </row>
    <row r="318" spans="1:15" s="1" customFormat="1" ht="12" thickBot="1">
      <c r="A318" s="52"/>
      <c r="B318" s="125"/>
      <c r="C318" s="48"/>
      <c r="D318" s="48"/>
      <c r="E318" s="126"/>
      <c r="F318" s="127"/>
      <c r="G318" s="29"/>
      <c r="I318" s="52"/>
      <c r="J318" s="52"/>
      <c r="K318" s="52"/>
      <c r="L318" s="52"/>
      <c r="M318" s="52"/>
      <c r="N318" s="52"/>
      <c r="O318" s="52"/>
    </row>
    <row r="319" spans="1:15" s="1" customFormat="1">
      <c r="A319" s="52"/>
      <c r="B319" s="78"/>
      <c r="C319" s="392"/>
      <c r="D319" s="132"/>
      <c r="E319" s="132"/>
      <c r="F319" s="135"/>
      <c r="G319" s="23"/>
      <c r="I319" s="52"/>
      <c r="J319" s="52"/>
      <c r="K319" s="52"/>
      <c r="L319" s="52"/>
      <c r="M319" s="52"/>
      <c r="N319" s="52"/>
      <c r="O319" s="52"/>
    </row>
    <row r="320" spans="1:15" s="1" customFormat="1">
      <c r="A320" s="52"/>
      <c r="B320" s="78"/>
      <c r="C320" s="347" t="s">
        <v>396</v>
      </c>
      <c r="D320" s="132"/>
      <c r="E320" s="76">
        <f>E255+E315</f>
        <v>67881.91786666667</v>
      </c>
      <c r="F320" s="133" t="s">
        <v>229</v>
      </c>
      <c r="G320" s="23"/>
      <c r="I320" s="52"/>
      <c r="J320" s="52"/>
      <c r="K320" s="52"/>
      <c r="L320" s="52"/>
      <c r="M320" s="52"/>
      <c r="N320" s="52"/>
      <c r="O320" s="52"/>
    </row>
    <row r="321" spans="1:15" s="1" customFormat="1">
      <c r="A321" s="52"/>
      <c r="B321" s="78"/>
      <c r="C321" s="134" t="s">
        <v>397</v>
      </c>
      <c r="D321" s="132"/>
      <c r="E321" s="132"/>
      <c r="F321" s="135"/>
      <c r="G321" s="23"/>
      <c r="I321" s="52"/>
      <c r="J321" s="52"/>
      <c r="K321" s="52"/>
      <c r="L321" s="52"/>
      <c r="M321" s="52"/>
      <c r="N321" s="52"/>
      <c r="O321" s="52"/>
    </row>
    <row r="322" spans="1:15" s="1" customFormat="1">
      <c r="A322" s="52"/>
      <c r="B322" s="78"/>
      <c r="C322" s="347" t="s">
        <v>398</v>
      </c>
      <c r="D322" s="132"/>
      <c r="E322" s="76">
        <f>E320*E8</f>
        <v>814583.01439999999</v>
      </c>
      <c r="F322" s="133" t="s">
        <v>229</v>
      </c>
      <c r="G322" s="23"/>
      <c r="I322" s="52"/>
      <c r="J322" s="52"/>
      <c r="K322" s="52"/>
      <c r="L322" s="52"/>
      <c r="M322" s="52"/>
      <c r="N322" s="52"/>
      <c r="O322" s="52"/>
    </row>
    <row r="323" spans="1:15" s="1" customFormat="1" ht="12" thickBot="1">
      <c r="A323" s="52"/>
      <c r="B323" s="78"/>
      <c r="C323" s="136" t="s">
        <v>397</v>
      </c>
      <c r="D323" s="137"/>
      <c r="E323" s="137"/>
      <c r="F323" s="138"/>
      <c r="G323" s="23"/>
      <c r="I323" s="52"/>
      <c r="J323" s="52"/>
      <c r="K323" s="52"/>
      <c r="L323" s="52"/>
      <c r="M323" s="52"/>
      <c r="N323" s="52"/>
      <c r="O323" s="52"/>
    </row>
    <row r="324" spans="1:15" s="1" customFormat="1">
      <c r="A324" s="52"/>
      <c r="B324" s="78"/>
      <c r="C324" s="19"/>
      <c r="D324" s="19"/>
      <c r="E324" s="93"/>
      <c r="F324" s="80"/>
      <c r="G324" s="23"/>
      <c r="I324" s="52"/>
      <c r="J324" s="52"/>
      <c r="K324" s="52"/>
      <c r="L324" s="52"/>
      <c r="M324" s="52"/>
      <c r="N324" s="52"/>
      <c r="O324" s="52"/>
    </row>
    <row r="325" spans="1:15" s="1" customFormat="1" ht="12" thickBot="1">
      <c r="A325" s="52"/>
      <c r="B325" s="125"/>
      <c r="C325" s="48"/>
      <c r="D325" s="48"/>
      <c r="E325" s="126"/>
      <c r="F325" s="127"/>
      <c r="G325" s="29"/>
      <c r="I325" s="52"/>
      <c r="J325" s="52"/>
      <c r="K325" s="52"/>
      <c r="L325" s="52"/>
      <c r="M325" s="52"/>
      <c r="N325" s="52"/>
      <c r="O325" s="52"/>
    </row>
    <row r="326" spans="1:15" s="1" customFormat="1">
      <c r="A326" s="52"/>
      <c r="B326" s="78"/>
      <c r="C326" s="392"/>
      <c r="D326" s="132"/>
      <c r="E326" s="132"/>
      <c r="F326" s="135"/>
      <c r="G326" s="23"/>
      <c r="I326" s="52"/>
      <c r="J326" s="52"/>
      <c r="K326" s="52"/>
      <c r="L326" s="52"/>
      <c r="M326" s="52"/>
      <c r="N326" s="52"/>
      <c r="O326" s="52"/>
    </row>
    <row r="327" spans="1:15">
      <c r="A327" s="52"/>
      <c r="B327" s="78"/>
      <c r="C327" s="347" t="s">
        <v>399</v>
      </c>
      <c r="D327" s="132"/>
      <c r="E327" s="76">
        <f>E320+E172+E120</f>
        <v>252961.06418666668</v>
      </c>
      <c r="F327" s="133" t="s">
        <v>229</v>
      </c>
      <c r="G327" s="112"/>
    </row>
    <row r="328" spans="1:15">
      <c r="B328" s="86"/>
      <c r="C328" s="134" t="s">
        <v>400</v>
      </c>
      <c r="D328" s="132"/>
      <c r="E328" s="132"/>
      <c r="F328" s="135"/>
      <c r="G328" s="23"/>
    </row>
    <row r="329" spans="1:15">
      <c r="A329" s="52"/>
      <c r="B329" s="86"/>
      <c r="C329" s="347" t="s">
        <v>401</v>
      </c>
      <c r="D329" s="132"/>
      <c r="E329" s="76">
        <f>E327*E8</f>
        <v>3035532.7702400004</v>
      </c>
      <c r="F329" s="133" t="s">
        <v>229</v>
      </c>
      <c r="G329" s="23"/>
    </row>
    <row r="330" spans="1:15" ht="12" thickBot="1">
      <c r="A330" s="52"/>
      <c r="B330" s="86"/>
      <c r="C330" s="136" t="s">
        <v>400</v>
      </c>
      <c r="D330" s="137"/>
      <c r="E330" s="137"/>
      <c r="F330" s="138"/>
      <c r="G330" s="23"/>
    </row>
    <row r="331" spans="1:15">
      <c r="A331" s="52"/>
      <c r="B331" s="86"/>
      <c r="C331" s="19"/>
      <c r="D331" s="19"/>
      <c r="E331" s="19"/>
      <c r="F331" s="80"/>
      <c r="G331" s="23"/>
    </row>
    <row r="332" spans="1:15" ht="12.75" customHeight="1" thickBot="1">
      <c r="A332" s="52"/>
      <c r="B332" s="139"/>
      <c r="C332" s="25"/>
      <c r="D332" s="25"/>
      <c r="E332" s="25"/>
      <c r="F332" s="25"/>
      <c r="G332" s="25"/>
    </row>
    <row r="333" spans="1:15" ht="13.8" hidden="1">
      <c r="A333" s="757" t="s">
        <v>402</v>
      </c>
      <c r="B333" s="758"/>
      <c r="C333" s="407"/>
      <c r="D333" s="407"/>
      <c r="E333" s="407"/>
      <c r="F333" s="407"/>
      <c r="G333" s="407"/>
      <c r="H333" s="407"/>
    </row>
    <row r="334" spans="1:15" hidden="1">
      <c r="A334" s="34"/>
      <c r="B334" s="52"/>
    </row>
    <row r="335" spans="1:15" hidden="1">
      <c r="A335" s="34"/>
      <c r="B335" s="182"/>
      <c r="C335" s="13"/>
      <c r="D335" s="13"/>
      <c r="E335" s="13"/>
      <c r="F335" s="13"/>
      <c r="G335" s="14"/>
    </row>
    <row r="336" spans="1:15" hidden="1">
      <c r="A336" s="34"/>
      <c r="B336" s="78"/>
      <c r="C336" s="19"/>
      <c r="D336" s="82" t="s">
        <v>223</v>
      </c>
      <c r="E336" s="82" t="s">
        <v>403</v>
      </c>
      <c r="F336" s="82" t="s">
        <v>277</v>
      </c>
      <c r="G336" s="23"/>
    </row>
    <row r="337" spans="1:8" hidden="1">
      <c r="B337" s="78"/>
      <c r="C337" s="79"/>
      <c r="D337" s="108">
        <v>0</v>
      </c>
      <c r="E337" s="71">
        <v>0</v>
      </c>
      <c r="F337" s="71">
        <f>+E337*D337</f>
        <v>0</v>
      </c>
      <c r="G337" s="183"/>
    </row>
    <row r="338" spans="1:8" hidden="1">
      <c r="B338" s="78"/>
      <c r="C338" s="79"/>
      <c r="D338" s="108">
        <v>0</v>
      </c>
      <c r="E338" s="71">
        <v>0</v>
      </c>
      <c r="F338" s="71">
        <f>D338*E338</f>
        <v>0</v>
      </c>
      <c r="G338" s="23"/>
    </row>
    <row r="339" spans="1:8" hidden="1">
      <c r="B339" s="78"/>
      <c r="C339" s="84" t="s">
        <v>404</v>
      </c>
      <c r="D339" s="184">
        <f>SUM(D337:D338)</f>
        <v>0</v>
      </c>
      <c r="E339" s="185"/>
      <c r="F339" s="76">
        <f>SUM(F337:F338)</f>
        <v>0</v>
      </c>
      <c r="G339" s="112" t="s">
        <v>229</v>
      </c>
    </row>
    <row r="340" spans="1:8" hidden="1">
      <c r="B340" s="78"/>
      <c r="C340" s="355" t="s">
        <v>405</v>
      </c>
      <c r="D340" s="186">
        <f>'DADOS DE ENTRADA'!B35</f>
        <v>0.80840000000000001</v>
      </c>
      <c r="E340" s="71">
        <f>F339</f>
        <v>0</v>
      </c>
      <c r="F340" s="71">
        <f>ROUND(D340*E340,2)</f>
        <v>0</v>
      </c>
      <c r="G340" s="23"/>
    </row>
    <row r="341" spans="1:8" hidden="1">
      <c r="B341" s="78"/>
      <c r="C341" s="19"/>
      <c r="D341" s="84"/>
      <c r="E341" s="344" t="s">
        <v>406</v>
      </c>
      <c r="F341" s="76">
        <f>+F340+F339</f>
        <v>0</v>
      </c>
      <c r="G341" s="112" t="s">
        <v>229</v>
      </c>
    </row>
    <row r="342" spans="1:8" hidden="1">
      <c r="B342" s="78"/>
      <c r="C342" s="19"/>
      <c r="D342" s="19"/>
      <c r="E342" s="93"/>
      <c r="F342" s="80"/>
      <c r="G342" s="23"/>
    </row>
    <row r="343" spans="1:8" hidden="1">
      <c r="B343" s="78"/>
      <c r="C343" s="128"/>
      <c r="D343" s="129"/>
      <c r="E343" s="129"/>
      <c r="F343" s="130"/>
      <c r="G343" s="112"/>
    </row>
    <row r="344" spans="1:8" hidden="1">
      <c r="A344" s="52"/>
      <c r="B344" s="86"/>
      <c r="C344" s="347" t="s">
        <v>407</v>
      </c>
      <c r="D344" s="132"/>
      <c r="E344" s="76">
        <f>F341</f>
        <v>0</v>
      </c>
      <c r="F344" s="133" t="s">
        <v>229</v>
      </c>
      <c r="G344" s="23"/>
    </row>
    <row r="345" spans="1:8" hidden="1">
      <c r="A345" s="3"/>
      <c r="B345" s="86"/>
      <c r="C345" s="134" t="s">
        <v>408</v>
      </c>
      <c r="D345" s="132"/>
      <c r="E345" s="132"/>
      <c r="F345" s="135"/>
      <c r="G345" s="23"/>
    </row>
    <row r="346" spans="1:8" hidden="1">
      <c r="A346" s="52"/>
      <c r="B346" s="86"/>
      <c r="C346" s="347" t="s">
        <v>409</v>
      </c>
      <c r="D346" s="132"/>
      <c r="E346" s="76">
        <f>+E344*E8</f>
        <v>0</v>
      </c>
      <c r="F346" s="133" t="s">
        <v>229</v>
      </c>
      <c r="G346" s="23"/>
    </row>
    <row r="347" spans="1:8" ht="12" hidden="1" thickBot="1">
      <c r="A347" s="52"/>
      <c r="B347" s="86"/>
      <c r="C347" s="136" t="s">
        <v>408</v>
      </c>
      <c r="D347" s="137"/>
      <c r="E347" s="137"/>
      <c r="F347" s="138"/>
      <c r="G347" s="112"/>
    </row>
    <row r="348" spans="1:8" ht="12" hidden="1" thickBot="1">
      <c r="A348" s="3"/>
      <c r="B348" s="86"/>
      <c r="C348" s="48"/>
      <c r="D348" s="48"/>
      <c r="E348" s="48"/>
      <c r="F348" s="127"/>
      <c r="G348" s="29"/>
    </row>
    <row r="349" spans="1:8" ht="12" hidden="1" thickBot="1">
      <c r="B349" s="139"/>
      <c r="F349" s="100"/>
    </row>
    <row r="350" spans="1:8" ht="13.8" hidden="1">
      <c r="A350" s="757" t="s">
        <v>464</v>
      </c>
      <c r="B350" s="758"/>
      <c r="C350" s="758"/>
      <c r="D350" s="407"/>
      <c r="E350" s="407"/>
      <c r="F350" s="407"/>
      <c r="G350" s="407"/>
      <c r="H350" s="407"/>
    </row>
    <row r="351" spans="1:8" ht="13.8" hidden="1">
      <c r="A351" s="187"/>
      <c r="B351" s="52"/>
      <c r="C351" s="187"/>
      <c r="D351" s="187"/>
      <c r="E351" s="187"/>
      <c r="F351" s="187"/>
      <c r="G351" s="187"/>
      <c r="H351" s="187"/>
    </row>
    <row r="352" spans="1:8" ht="13.8" hidden="1">
      <c r="A352" s="199"/>
      <c r="B352" s="187"/>
      <c r="C352" s="189"/>
      <c r="D352" s="189"/>
      <c r="E352" s="190"/>
      <c r="F352" s="240" t="s">
        <v>166</v>
      </c>
      <c r="G352" s="14"/>
      <c r="H352" s="52"/>
    </row>
    <row r="353" spans="1:8" hidden="1">
      <c r="A353" s="199"/>
      <c r="B353" s="188"/>
      <c r="C353" s="191">
        <v>0</v>
      </c>
      <c r="D353" s="77" t="s">
        <v>482</v>
      </c>
      <c r="E353" s="192" t="s">
        <v>465</v>
      </c>
      <c r="F353" s="191">
        <v>0</v>
      </c>
      <c r="G353" s="23"/>
      <c r="H353" s="52"/>
    </row>
    <row r="354" spans="1:8" hidden="1">
      <c r="A354" s="199"/>
      <c r="B354" s="146" t="s">
        <v>411</v>
      </c>
      <c r="C354" s="193">
        <v>0</v>
      </c>
      <c r="D354" s="77" t="s">
        <v>229</v>
      </c>
      <c r="E354" s="192" t="s">
        <v>412</v>
      </c>
      <c r="F354" s="193">
        <v>0</v>
      </c>
      <c r="G354" s="194"/>
      <c r="H354" s="52"/>
    </row>
    <row r="355" spans="1:8" hidden="1">
      <c r="A355" s="199"/>
      <c r="B355" s="146" t="s">
        <v>412</v>
      </c>
      <c r="C355" s="195"/>
      <c r="D355" s="77" t="s">
        <v>414</v>
      </c>
      <c r="E355" s="192" t="s">
        <v>413</v>
      </c>
      <c r="F355" s="195"/>
      <c r="G355" s="23"/>
      <c r="H355" s="52"/>
    </row>
    <row r="356" spans="1:8" hidden="1">
      <c r="B356" s="146" t="s">
        <v>413</v>
      </c>
      <c r="C356" s="196"/>
      <c r="D356" s="77" t="s">
        <v>390</v>
      </c>
      <c r="E356" s="192" t="s">
        <v>415</v>
      </c>
      <c r="F356" s="196"/>
      <c r="G356" s="23"/>
      <c r="H356" s="52"/>
    </row>
    <row r="357" spans="1:8" hidden="1">
      <c r="A357" s="91"/>
      <c r="B357" s="146" t="s">
        <v>415</v>
      </c>
      <c r="C357" s="196"/>
      <c r="D357" s="77" t="s">
        <v>390</v>
      </c>
      <c r="E357" s="192" t="s">
        <v>416</v>
      </c>
      <c r="F357" s="196"/>
      <c r="G357" s="23"/>
      <c r="H357" s="52"/>
    </row>
    <row r="358" spans="1:8" hidden="1">
      <c r="B358" s="146" t="s">
        <v>416</v>
      </c>
      <c r="C358" s="196"/>
      <c r="D358" s="77" t="s">
        <v>418</v>
      </c>
      <c r="E358" s="192" t="s">
        <v>417</v>
      </c>
      <c r="F358" s="196"/>
      <c r="G358" s="23"/>
      <c r="H358" s="52"/>
    </row>
    <row r="359" spans="1:8" hidden="1">
      <c r="B359" s="146" t="s">
        <v>417</v>
      </c>
      <c r="C359" s="196"/>
      <c r="D359" s="77" t="s">
        <v>390</v>
      </c>
      <c r="E359" s="192" t="s">
        <v>419</v>
      </c>
      <c r="F359" s="196"/>
      <c r="G359" s="23"/>
      <c r="H359" s="52"/>
    </row>
    <row r="360" spans="1:8" hidden="1">
      <c r="B360" s="146" t="s">
        <v>419</v>
      </c>
      <c r="C360" s="163"/>
      <c r="D360" s="77" t="s">
        <v>387</v>
      </c>
      <c r="E360" s="192" t="s">
        <v>420</v>
      </c>
      <c r="F360" s="163"/>
      <c r="G360" s="23"/>
      <c r="H360" s="52"/>
    </row>
    <row r="361" spans="1:8" hidden="1">
      <c r="B361" s="146" t="s">
        <v>420</v>
      </c>
      <c r="C361" s="191">
        <v>0</v>
      </c>
      <c r="D361" s="77" t="s">
        <v>361</v>
      </c>
      <c r="E361" s="192" t="s">
        <v>421</v>
      </c>
      <c r="F361" s="191">
        <v>0</v>
      </c>
      <c r="G361" s="23"/>
      <c r="H361" s="52"/>
    </row>
    <row r="362" spans="1:8" hidden="1">
      <c r="B362" s="146" t="s">
        <v>421</v>
      </c>
      <c r="C362" s="168">
        <v>0</v>
      </c>
      <c r="D362" s="77" t="s">
        <v>363</v>
      </c>
      <c r="E362" s="192" t="s">
        <v>422</v>
      </c>
      <c r="F362" s="168">
        <v>0</v>
      </c>
      <c r="G362" s="23"/>
      <c r="H362" s="52"/>
    </row>
    <row r="363" spans="1:8" hidden="1">
      <c r="B363" s="146" t="s">
        <v>483</v>
      </c>
      <c r="C363" s="193">
        <v>0</v>
      </c>
      <c r="D363" s="77" t="s">
        <v>359</v>
      </c>
      <c r="E363" s="192" t="s">
        <v>423</v>
      </c>
      <c r="F363" s="193">
        <v>0</v>
      </c>
      <c r="G363" s="23"/>
      <c r="H363" s="52"/>
    </row>
    <row r="364" spans="1:8" hidden="1">
      <c r="B364" s="146" t="s">
        <v>423</v>
      </c>
      <c r="C364" s="168"/>
      <c r="D364" s="77" t="s">
        <v>361</v>
      </c>
      <c r="E364" s="192" t="s">
        <v>424</v>
      </c>
      <c r="F364" s="168"/>
      <c r="G364" s="23"/>
      <c r="H364" s="52"/>
    </row>
    <row r="365" spans="1:8" hidden="1">
      <c r="A365" s="241"/>
      <c r="B365" s="146" t="s">
        <v>424</v>
      </c>
      <c r="C365" s="196"/>
      <c r="D365" s="77" t="s">
        <v>229</v>
      </c>
      <c r="E365" s="192" t="s">
        <v>425</v>
      </c>
      <c r="F365" s="196"/>
      <c r="G365" s="23"/>
      <c r="H365" s="52"/>
    </row>
    <row r="366" spans="1:8" hidden="1">
      <c r="B366" s="146" t="s">
        <v>425</v>
      </c>
      <c r="C366" s="168"/>
      <c r="D366" s="77" t="s">
        <v>229</v>
      </c>
      <c r="E366" s="192" t="s">
        <v>426</v>
      </c>
      <c r="F366" s="168"/>
      <c r="G366" s="23"/>
      <c r="H366" s="52"/>
    </row>
    <row r="367" spans="1:8" hidden="1">
      <c r="B367" s="146" t="s">
        <v>426</v>
      </c>
      <c r="C367" s="168"/>
      <c r="D367" s="77" t="s">
        <v>229</v>
      </c>
      <c r="E367" s="192" t="s">
        <v>427</v>
      </c>
      <c r="F367" s="168"/>
      <c r="G367" s="23"/>
      <c r="H367" s="52"/>
    </row>
    <row r="368" spans="1:8" hidden="1">
      <c r="B368" s="146" t="s">
        <v>427</v>
      </c>
      <c r="C368" s="168">
        <f>+(C352*C354)*(C358/100)/12</f>
        <v>0</v>
      </c>
      <c r="D368" s="77" t="s">
        <v>229</v>
      </c>
      <c r="E368" s="192" t="s">
        <v>429</v>
      </c>
      <c r="F368" s="168">
        <v>0</v>
      </c>
      <c r="G368" s="23"/>
      <c r="H368" s="52"/>
    </row>
    <row r="369" spans="1:8" hidden="1">
      <c r="B369" s="141" t="s">
        <v>428</v>
      </c>
      <c r="C369" s="168">
        <f>ROUND(+(C352*C354)*(C359/100)/12,2)</f>
        <v>0</v>
      </c>
      <c r="D369" s="77" t="s">
        <v>229</v>
      </c>
      <c r="E369" s="192" t="s">
        <v>431</v>
      </c>
      <c r="F369" s="168">
        <v>0</v>
      </c>
      <c r="G369" s="23"/>
      <c r="H369" s="52"/>
    </row>
    <row r="370" spans="1:8" hidden="1">
      <c r="A370" s="241"/>
      <c r="B370" s="146" t="s">
        <v>430</v>
      </c>
      <c r="C370" s="150">
        <f>C354</f>
        <v>0</v>
      </c>
      <c r="D370" s="77" t="s">
        <v>229</v>
      </c>
      <c r="E370" s="198" t="s">
        <v>432</v>
      </c>
      <c r="F370" s="150">
        <f>F354</f>
        <v>0</v>
      </c>
      <c r="G370" s="23"/>
      <c r="H370" s="52"/>
    </row>
    <row r="371" spans="1:8" hidden="1">
      <c r="B371" s="197" t="s">
        <v>432</v>
      </c>
      <c r="C371" s="168">
        <v>0</v>
      </c>
      <c r="D371" s="77" t="s">
        <v>229</v>
      </c>
      <c r="E371" s="192" t="s">
        <v>433</v>
      </c>
      <c r="F371" s="168">
        <f>F362*F363</f>
        <v>0</v>
      </c>
      <c r="G371" s="23"/>
      <c r="H371" s="52"/>
    </row>
    <row r="372" spans="1:8" hidden="1">
      <c r="B372" s="146" t="s">
        <v>433</v>
      </c>
      <c r="C372" s="168">
        <v>0</v>
      </c>
      <c r="D372" s="77" t="s">
        <v>229</v>
      </c>
      <c r="E372" s="192" t="s">
        <v>434</v>
      </c>
      <c r="F372" s="168">
        <f>ROUND(+F360*F361,2)</f>
        <v>0</v>
      </c>
      <c r="G372" s="23"/>
      <c r="H372" s="52"/>
    </row>
    <row r="373" spans="1:8" hidden="1">
      <c r="B373" s="146" t="s">
        <v>434</v>
      </c>
      <c r="C373" s="168">
        <v>0</v>
      </c>
      <c r="D373" s="77" t="s">
        <v>229</v>
      </c>
      <c r="E373" s="192" t="s">
        <v>435</v>
      </c>
      <c r="F373" s="168"/>
      <c r="G373" s="23"/>
      <c r="H373" s="52"/>
    </row>
    <row r="374" spans="1:8" hidden="1">
      <c r="A374" s="199"/>
      <c r="B374" s="146" t="s">
        <v>435</v>
      </c>
      <c r="C374" s="150">
        <f>SUM(C371:C373)</f>
        <v>0</v>
      </c>
      <c r="D374" s="77" t="s">
        <v>229</v>
      </c>
      <c r="E374" s="198" t="s">
        <v>436</v>
      </c>
      <c r="F374" s="150">
        <f>SUM(F371:F373)</f>
        <v>0</v>
      </c>
      <c r="G374" s="23"/>
      <c r="H374" s="52"/>
    </row>
    <row r="375" spans="1:8" hidden="1">
      <c r="A375" s="199"/>
      <c r="B375" s="197" t="s">
        <v>436</v>
      </c>
      <c r="C375" s="76">
        <f>(+C370+C374)*C353</f>
        <v>0</v>
      </c>
      <c r="D375" s="77" t="s">
        <v>229</v>
      </c>
      <c r="E375" s="77"/>
      <c r="F375" s="76">
        <f>(+F370+F374)*F353</f>
        <v>0</v>
      </c>
      <c r="G375" s="23" t="str">
        <f>D375</f>
        <v>(R$)</v>
      </c>
    </row>
    <row r="376" spans="1:8" hidden="1">
      <c r="A376" s="199"/>
      <c r="B376" s="350" t="s">
        <v>437</v>
      </c>
      <c r="C376" s="84"/>
      <c r="D376" s="93"/>
      <c r="E376" s="145"/>
      <c r="F376" s="145"/>
      <c r="G376" s="23"/>
      <c r="H376" s="52"/>
    </row>
    <row r="377" spans="1:8" hidden="1">
      <c r="A377" s="199"/>
      <c r="B377" s="143"/>
      <c r="C377" s="84"/>
      <c r="D377" s="344" t="s">
        <v>438</v>
      </c>
      <c r="E377" s="76">
        <f>C375+F375</f>
        <v>0</v>
      </c>
      <c r="F377" s="145"/>
      <c r="G377" s="23"/>
      <c r="H377" s="52"/>
    </row>
    <row r="378" spans="1:8" hidden="1">
      <c r="A378" s="199"/>
      <c r="B378" s="143"/>
      <c r="C378" s="84"/>
      <c r="D378" s="344" t="s">
        <v>439</v>
      </c>
      <c r="E378" s="76">
        <f>E377*E8</f>
        <v>0</v>
      </c>
      <c r="F378" s="77" t="s">
        <v>229</v>
      </c>
      <c r="G378" s="23"/>
    </row>
    <row r="379" spans="1:8" ht="12" hidden="1" thickBot="1">
      <c r="A379" s="199"/>
      <c r="B379" s="86"/>
      <c r="C379" s="84"/>
      <c r="D379" s="93"/>
      <c r="E379" s="145"/>
      <c r="F379" s="145"/>
      <c r="G379" s="23"/>
    </row>
    <row r="380" spans="1:8" hidden="1">
      <c r="B380" s="143"/>
      <c r="C380" s="128"/>
      <c r="D380" s="129"/>
      <c r="E380" s="129"/>
      <c r="F380" s="130"/>
      <c r="G380" s="23"/>
    </row>
    <row r="381" spans="1:8" hidden="1">
      <c r="B381" s="86"/>
      <c r="C381" s="131" t="s">
        <v>440</v>
      </c>
      <c r="D381" s="132"/>
      <c r="E381" s="76">
        <v>0</v>
      </c>
      <c r="F381" s="133" t="s">
        <v>229</v>
      </c>
      <c r="G381" s="112"/>
    </row>
    <row r="382" spans="1:8" hidden="1">
      <c r="A382" s="52"/>
      <c r="B382" s="86"/>
      <c r="C382" s="134" t="s">
        <v>441</v>
      </c>
      <c r="D382" s="132"/>
      <c r="E382" s="132"/>
      <c r="F382" s="135"/>
      <c r="G382" s="23"/>
    </row>
    <row r="383" spans="1:8" hidden="1">
      <c r="A383" s="52"/>
      <c r="B383" s="86"/>
      <c r="C383" s="131" t="s">
        <v>442</v>
      </c>
      <c r="D383" s="132"/>
      <c r="E383" s="76">
        <f>+E381*E8</f>
        <v>0</v>
      </c>
      <c r="F383" s="133" t="s">
        <v>229</v>
      </c>
      <c r="G383" s="92"/>
    </row>
    <row r="384" spans="1:8" ht="12" hidden="1" thickBot="1">
      <c r="A384" s="3"/>
      <c r="B384" s="86"/>
      <c r="C384" s="136" t="s">
        <v>443</v>
      </c>
      <c r="D384" s="137"/>
      <c r="E384" s="137"/>
      <c r="F384" s="138"/>
      <c r="G384" s="112"/>
    </row>
    <row r="385" spans="1:15" hidden="1">
      <c r="A385" s="52"/>
      <c r="B385" s="86"/>
      <c r="C385" s="17"/>
      <c r="D385" s="19"/>
      <c r="E385" s="93"/>
      <c r="F385" s="93"/>
      <c r="G385" s="23"/>
    </row>
    <row r="386" spans="1:15" ht="13.8">
      <c r="A386" s="52"/>
      <c r="B386" s="757" t="s">
        <v>444</v>
      </c>
      <c r="C386" s="758"/>
      <c r="D386" s="758"/>
      <c r="E386" s="758"/>
      <c r="F386" s="758"/>
      <c r="G386" s="758"/>
      <c r="H386" s="407"/>
    </row>
    <row r="387" spans="1:15" ht="13.5" customHeight="1" thickBot="1">
      <c r="A387" s="3"/>
      <c r="B387" s="52"/>
      <c r="D387" s="199"/>
      <c r="F387" s="200"/>
    </row>
    <row r="388" spans="1:15" ht="13.5" customHeight="1">
      <c r="A388" s="3"/>
      <c r="B388" s="43" t="s">
        <v>445</v>
      </c>
      <c r="C388" s="44"/>
      <c r="D388" s="44"/>
      <c r="E388" s="44"/>
      <c r="F388" s="44"/>
      <c r="G388" s="201"/>
    </row>
    <row r="389" spans="1:15" ht="13.5" customHeight="1">
      <c r="A389" s="3"/>
      <c r="B389" s="202"/>
      <c r="C389" s="22"/>
      <c r="D389" s="22"/>
      <c r="E389" s="22"/>
      <c r="F389" s="22"/>
      <c r="G389" s="23"/>
    </row>
    <row r="390" spans="1:15" ht="13.5" customHeight="1">
      <c r="A390" s="3"/>
      <c r="B390" s="202"/>
      <c r="C390" s="22"/>
      <c r="D390" s="22"/>
      <c r="E390" s="22"/>
      <c r="F390" s="22"/>
      <c r="G390" s="23"/>
    </row>
    <row r="391" spans="1:15" s="1" customFormat="1" ht="13.5" customHeight="1">
      <c r="A391" s="3"/>
      <c r="B391" s="202"/>
      <c r="C391" s="22"/>
      <c r="D391" s="22"/>
      <c r="E391" s="22"/>
      <c r="F391" s="22"/>
      <c r="G391" s="23"/>
      <c r="I391" s="52"/>
      <c r="J391" s="52"/>
      <c r="K391" s="52"/>
      <c r="L391" s="52"/>
      <c r="M391" s="52"/>
      <c r="N391" s="52"/>
      <c r="O391" s="52"/>
    </row>
    <row r="392" spans="1:15" s="1" customFormat="1" ht="13.5" customHeight="1">
      <c r="A392" s="3"/>
      <c r="B392" s="202"/>
      <c r="C392" s="22"/>
      <c r="D392" s="22"/>
      <c r="E392" s="22"/>
      <c r="F392" s="22"/>
      <c r="G392" s="23"/>
      <c r="I392" s="52"/>
      <c r="J392" s="52"/>
      <c r="K392" s="52"/>
      <c r="L392" s="52"/>
      <c r="M392" s="52"/>
      <c r="N392" s="52"/>
      <c r="O392" s="52"/>
    </row>
    <row r="393" spans="1:15" s="1" customFormat="1" ht="13.5" customHeight="1">
      <c r="A393" s="3"/>
      <c r="B393" s="202"/>
      <c r="C393" s="22"/>
      <c r="D393" s="22"/>
      <c r="E393" s="22"/>
      <c r="F393" s="22"/>
      <c r="G393" s="23"/>
      <c r="I393" s="52"/>
      <c r="J393" s="52"/>
      <c r="K393" s="52"/>
      <c r="L393" s="52"/>
      <c r="M393" s="52"/>
      <c r="N393" s="52"/>
      <c r="O393" s="52"/>
    </row>
    <row r="394" spans="1:15" s="1" customFormat="1" ht="13.5" customHeight="1">
      <c r="A394" s="3"/>
      <c r="B394" s="202"/>
      <c r="C394" s="22"/>
      <c r="D394" s="22"/>
      <c r="E394" s="22"/>
      <c r="F394" s="22"/>
      <c r="G394" s="23"/>
      <c r="I394" s="52"/>
      <c r="J394" s="52"/>
      <c r="K394" s="52"/>
      <c r="L394" s="52"/>
      <c r="M394" s="52"/>
      <c r="N394" s="52"/>
      <c r="O394" s="52"/>
    </row>
    <row r="395" spans="1:15" s="1" customFormat="1" ht="13.5" customHeight="1">
      <c r="A395" s="3"/>
      <c r="B395" s="202"/>
      <c r="C395" s="777" t="s">
        <v>446</v>
      </c>
      <c r="D395" s="203" t="s">
        <v>109</v>
      </c>
      <c r="E395" s="204">
        <f>'01-Coleta domiciliar'!E582</f>
        <v>1.6500000000000001E-2</v>
      </c>
      <c r="F395" s="22"/>
      <c r="G395" s="23"/>
      <c r="I395" s="52"/>
      <c r="J395" s="52"/>
      <c r="K395" s="52"/>
      <c r="L395" s="52"/>
      <c r="M395" s="52"/>
      <c r="N395" s="52"/>
      <c r="O395" s="52"/>
    </row>
    <row r="396" spans="1:15" s="1" customFormat="1" ht="13.5" customHeight="1">
      <c r="A396" s="3"/>
      <c r="B396" s="202"/>
      <c r="C396" s="778"/>
      <c r="D396" s="203" t="s">
        <v>112</v>
      </c>
      <c r="E396" s="204">
        <f>'01-Coleta domiciliar'!E583</f>
        <v>7.5999999999999998E-2</v>
      </c>
      <c r="F396" s="22"/>
      <c r="G396" s="23"/>
      <c r="I396" s="52"/>
      <c r="J396" s="52"/>
      <c r="K396" s="52"/>
      <c r="L396" s="52"/>
      <c r="M396" s="52"/>
      <c r="N396" s="52"/>
      <c r="O396" s="52"/>
    </row>
    <row r="397" spans="1:15" s="1" customFormat="1" ht="13.5" customHeight="1">
      <c r="A397" s="3"/>
      <c r="B397" s="202"/>
      <c r="C397" s="778"/>
      <c r="D397" s="203" t="s">
        <v>115</v>
      </c>
      <c r="E397" s="204">
        <f>'01-Coleta domiciliar'!E584</f>
        <v>0.05</v>
      </c>
      <c r="F397" s="22"/>
      <c r="G397" s="23"/>
      <c r="I397" s="52"/>
      <c r="J397" s="52"/>
      <c r="K397" s="52"/>
      <c r="L397" s="52"/>
      <c r="M397" s="52"/>
      <c r="N397" s="52"/>
      <c r="O397" s="52"/>
    </row>
    <row r="398" spans="1:15" s="1" customFormat="1" ht="13.5" customHeight="1">
      <c r="A398" s="3"/>
      <c r="B398" s="202"/>
      <c r="C398" s="773" t="s">
        <v>447</v>
      </c>
      <c r="D398" s="773"/>
      <c r="E398" s="204">
        <f>'01-Coleta domiciliar'!E585</f>
        <v>0.14250000000000002</v>
      </c>
      <c r="F398" s="22"/>
      <c r="G398" s="23"/>
      <c r="I398" s="52"/>
      <c r="J398" s="52"/>
      <c r="K398" s="52"/>
      <c r="L398" s="52"/>
      <c r="M398" s="52"/>
      <c r="N398" s="52"/>
      <c r="O398" s="52"/>
    </row>
    <row r="399" spans="1:15" s="1" customFormat="1" ht="13.5" customHeight="1">
      <c r="A399" s="3"/>
      <c r="B399" s="95"/>
      <c r="C399" s="781" t="s">
        <v>448</v>
      </c>
      <c r="D399" s="782"/>
      <c r="E399" s="204">
        <f>'01-Coleta domiciliar'!E586</f>
        <v>3.4299999999999997E-2</v>
      </c>
      <c r="F399" s="22"/>
      <c r="G399" s="23"/>
      <c r="I399" s="52"/>
      <c r="J399" s="52"/>
      <c r="K399" s="52"/>
      <c r="L399" s="52"/>
      <c r="M399" s="52"/>
      <c r="N399" s="52"/>
      <c r="O399" s="52"/>
    </row>
    <row r="400" spans="1:15" s="1" customFormat="1" ht="13.5" customHeight="1">
      <c r="A400" s="3"/>
      <c r="B400" s="95"/>
      <c r="C400" s="773" t="s">
        <v>449</v>
      </c>
      <c r="D400" s="773"/>
      <c r="E400" s="204">
        <f>'01-Coleta domiciliar'!E587</f>
        <v>0.01</v>
      </c>
      <c r="F400" s="22"/>
      <c r="G400" s="23"/>
      <c r="I400" s="52"/>
      <c r="J400" s="52"/>
      <c r="K400" s="52"/>
      <c r="L400" s="52"/>
      <c r="M400" s="52"/>
      <c r="N400" s="52"/>
      <c r="O400" s="52"/>
    </row>
    <row r="401" spans="1:15" s="1" customFormat="1" ht="13.5" customHeight="1">
      <c r="A401" s="3"/>
      <c r="B401" s="78"/>
      <c r="C401" s="773" t="s">
        <v>450</v>
      </c>
      <c r="D401" s="773"/>
      <c r="E401" s="204">
        <f>'01-Coleta domiciliar'!E588</f>
        <v>4.8999999999999998E-3</v>
      </c>
      <c r="F401" s="22"/>
      <c r="G401" s="23"/>
      <c r="I401" s="52"/>
      <c r="J401" s="52"/>
      <c r="K401" s="52"/>
      <c r="L401" s="52"/>
      <c r="M401" s="52"/>
      <c r="N401" s="52"/>
      <c r="O401" s="52"/>
    </row>
    <row r="402" spans="1:15" s="1" customFormat="1" ht="13.5" customHeight="1">
      <c r="A402" s="3"/>
      <c r="B402" s="78"/>
      <c r="C402" s="773" t="s">
        <v>451</v>
      </c>
      <c r="D402" s="773"/>
      <c r="E402" s="204">
        <f>'01-Coleta domiciliar'!E589</f>
        <v>9.4000000000000004E-3</v>
      </c>
      <c r="F402" s="22"/>
      <c r="G402" s="23"/>
      <c r="I402" s="52"/>
      <c r="J402" s="52"/>
      <c r="K402" s="52"/>
      <c r="L402" s="52"/>
      <c r="M402" s="52"/>
      <c r="N402" s="52"/>
      <c r="O402" s="52"/>
    </row>
    <row r="403" spans="1:15" s="1" customFormat="1" ht="13.5" customHeight="1">
      <c r="A403" s="3"/>
      <c r="B403" s="95"/>
      <c r="C403" s="773" t="s">
        <v>452</v>
      </c>
      <c r="D403" s="773"/>
      <c r="E403" s="204">
        <f>'01-Coleta domiciliar'!E590</f>
        <v>8.5000000000000006E-2</v>
      </c>
      <c r="F403" s="22"/>
      <c r="G403" s="23"/>
      <c r="I403" s="52"/>
      <c r="J403" s="52"/>
      <c r="K403" s="52"/>
      <c r="L403" s="52"/>
      <c r="M403" s="52"/>
      <c r="N403" s="52"/>
      <c r="O403" s="52"/>
    </row>
    <row r="404" spans="1:15" s="1" customFormat="1" ht="13.5" customHeight="1" thickBot="1">
      <c r="A404" s="3"/>
      <c r="B404" s="206"/>
      <c r="C404" s="794" t="s">
        <v>453</v>
      </c>
      <c r="D404" s="794"/>
      <c r="E404" s="394">
        <f>((1+E399+E400+E401)*(1+E402)*(1+E403))/(1-E398)-1</f>
        <v>0.34003823999999994</v>
      </c>
      <c r="F404" s="22"/>
      <c r="G404" s="23"/>
      <c r="I404" s="52"/>
      <c r="J404" s="52"/>
      <c r="K404" s="52"/>
      <c r="L404" s="52"/>
      <c r="M404" s="52"/>
      <c r="N404" s="52"/>
      <c r="O404" s="52"/>
    </row>
    <row r="405" spans="1:15" s="1" customFormat="1" ht="13.5" customHeight="1">
      <c r="A405" s="3"/>
      <c r="B405" s="182"/>
      <c r="C405" s="33"/>
      <c r="D405" s="33"/>
      <c r="E405" s="33"/>
      <c r="F405" s="33"/>
      <c r="G405" s="395"/>
      <c r="I405" s="52"/>
      <c r="J405" s="52"/>
      <c r="K405" s="52"/>
      <c r="L405" s="52"/>
      <c r="M405" s="52"/>
      <c r="N405" s="52"/>
      <c r="O405" s="52"/>
    </row>
    <row r="406" spans="1:15" s="1" customFormat="1">
      <c r="A406" s="52"/>
      <c r="B406" s="95"/>
      <c r="C406" s="19"/>
      <c r="D406" s="17" t="s">
        <v>454</v>
      </c>
      <c r="E406" s="76">
        <f>E327</f>
        <v>252961.06418666668</v>
      </c>
      <c r="F406" s="145" t="s">
        <v>340</v>
      </c>
      <c r="G406" s="23"/>
      <c r="I406" s="52"/>
      <c r="J406" s="52"/>
      <c r="K406" s="52"/>
      <c r="L406" s="52"/>
      <c r="M406" s="52"/>
      <c r="N406" s="52"/>
      <c r="O406" s="52"/>
    </row>
    <row r="407" spans="1:15">
      <c r="A407" s="199"/>
      <c r="B407" s="78"/>
      <c r="C407" s="19"/>
      <c r="D407" s="17" t="s">
        <v>455</v>
      </c>
      <c r="E407" s="172">
        <f>E7</f>
        <v>7</v>
      </c>
      <c r="F407" s="145" t="s">
        <v>484</v>
      </c>
      <c r="G407" s="183"/>
      <c r="H407" s="2"/>
    </row>
    <row r="408" spans="1:15">
      <c r="A408" s="199"/>
      <c r="B408" s="78"/>
      <c r="C408" s="19"/>
      <c r="D408" s="19"/>
      <c r="E408" s="19"/>
      <c r="F408" s="19"/>
      <c r="G408" s="23"/>
    </row>
    <row r="409" spans="1:15" ht="12.75" customHeight="1">
      <c r="A409" s="52"/>
      <c r="B409" s="95"/>
      <c r="C409" s="19"/>
      <c r="D409" s="209" t="s">
        <v>457</v>
      </c>
      <c r="E409" s="76">
        <f>E406/E407</f>
        <v>36137.294883809525</v>
      </c>
      <c r="F409" s="145" t="s">
        <v>485</v>
      </c>
      <c r="G409" s="23"/>
    </row>
    <row r="410" spans="1:15">
      <c r="A410" s="199"/>
      <c r="B410" s="95"/>
      <c r="C410" s="19"/>
      <c r="D410" s="116"/>
      <c r="E410" s="19"/>
      <c r="F410" s="19"/>
      <c r="G410" s="23"/>
    </row>
    <row r="411" spans="1:15">
      <c r="A411" s="199"/>
      <c r="B411" s="78"/>
      <c r="C411" s="17"/>
      <c r="D411" s="210" t="s">
        <v>459</v>
      </c>
      <c r="E411" s="76">
        <f>E409*(1+E404)</f>
        <v>48425.357034461122</v>
      </c>
      <c r="F411" s="145" t="s">
        <v>485</v>
      </c>
      <c r="G411" s="92"/>
    </row>
    <row r="412" spans="1:15" ht="12" thickBot="1">
      <c r="A412" s="211"/>
      <c r="B412" s="125"/>
      <c r="C412" s="213"/>
      <c r="D412" s="213"/>
      <c r="E412" s="48"/>
      <c r="F412" s="214"/>
      <c r="G412" s="215"/>
    </row>
    <row r="413" spans="1:15">
      <c r="A413" s="211"/>
      <c r="B413" s="211"/>
      <c r="C413" s="211"/>
      <c r="D413" s="216"/>
      <c r="E413" s="115"/>
      <c r="F413" s="217"/>
      <c r="G413" s="218"/>
    </row>
    <row r="414" spans="1:15">
      <c r="A414" s="211"/>
      <c r="B414" s="211"/>
      <c r="C414" s="211"/>
      <c r="D414" s="216"/>
      <c r="E414" s="115"/>
      <c r="F414" s="217"/>
      <c r="G414" s="218"/>
    </row>
    <row r="415" spans="1:15">
      <c r="A415" s="211"/>
      <c r="B415" s="211"/>
      <c r="C415" s="211"/>
      <c r="D415" s="216"/>
      <c r="E415" s="115"/>
      <c r="F415" s="217"/>
      <c r="G415" s="218"/>
    </row>
    <row r="416" spans="1:15">
      <c r="A416" s="211"/>
      <c r="B416" s="211"/>
      <c r="C416" s="211"/>
      <c r="D416" s="216"/>
      <c r="E416" s="115"/>
      <c r="F416" s="217"/>
      <c r="G416" s="218"/>
    </row>
    <row r="417" spans="1:15">
      <c r="A417" s="211"/>
      <c r="B417" s="211"/>
      <c r="C417" s="211"/>
      <c r="D417" s="216"/>
      <c r="E417" s="115"/>
      <c r="F417" s="217"/>
      <c r="G417" s="218"/>
    </row>
    <row r="418" spans="1:15">
      <c r="A418" s="211"/>
      <c r="B418" s="211"/>
      <c r="C418" s="211"/>
      <c r="D418" s="216"/>
      <c r="E418" s="115"/>
      <c r="F418" s="217"/>
      <c r="G418" s="218"/>
    </row>
    <row r="419" spans="1:15">
      <c r="A419" s="211"/>
      <c r="B419" s="211"/>
      <c r="C419" s="211"/>
      <c r="D419" s="216"/>
      <c r="E419" s="115"/>
      <c r="F419" s="217"/>
      <c r="G419" s="218"/>
    </row>
    <row r="420" spans="1:15">
      <c r="A420" s="211"/>
      <c r="B420" s="211"/>
      <c r="C420" s="211"/>
      <c r="D420" s="216"/>
      <c r="E420" s="115"/>
      <c r="F420" s="217"/>
      <c r="G420" s="218"/>
    </row>
    <row r="421" spans="1:15">
      <c r="A421" s="211"/>
      <c r="B421" s="211"/>
      <c r="C421" s="211"/>
      <c r="D421" s="216"/>
      <c r="E421" s="115"/>
      <c r="F421" s="217"/>
      <c r="G421" s="218"/>
    </row>
    <row r="422" spans="1:15">
      <c r="A422" s="211"/>
      <c r="B422" s="211"/>
      <c r="C422" s="211"/>
      <c r="D422" s="216"/>
      <c r="E422" s="115"/>
      <c r="F422" s="217"/>
      <c r="G422" s="218"/>
    </row>
    <row r="423" spans="1:15" s="1" customFormat="1">
      <c r="A423" s="211"/>
      <c r="B423" s="211"/>
      <c r="C423" s="211"/>
      <c r="D423" s="216"/>
      <c r="E423" s="115"/>
      <c r="F423" s="217"/>
      <c r="G423" s="218"/>
      <c r="I423" s="52"/>
      <c r="J423" s="52"/>
      <c r="K423" s="52"/>
      <c r="L423" s="52"/>
      <c r="M423" s="52"/>
      <c r="N423" s="52"/>
      <c r="O423" s="52"/>
    </row>
    <row r="424" spans="1:15" s="1" customFormat="1">
      <c r="A424" s="211"/>
      <c r="B424" s="211"/>
      <c r="C424" s="211"/>
      <c r="D424" s="216"/>
      <c r="E424" s="115"/>
      <c r="F424" s="217"/>
      <c r="G424" s="218"/>
      <c r="I424" s="52"/>
      <c r="J424" s="52"/>
      <c r="K424" s="52"/>
      <c r="L424" s="52"/>
      <c r="M424" s="52"/>
      <c r="N424" s="52"/>
      <c r="O424" s="52"/>
    </row>
    <row r="425" spans="1:15" s="1" customFormat="1">
      <c r="A425" s="211"/>
      <c r="B425" s="211"/>
      <c r="C425" s="211"/>
      <c r="D425" s="216"/>
      <c r="E425" s="115"/>
      <c r="F425" s="217"/>
      <c r="G425" s="218"/>
      <c r="I425" s="52"/>
      <c r="J425" s="52"/>
      <c r="K425" s="52"/>
      <c r="L425" s="52"/>
      <c r="M425" s="52"/>
      <c r="N425" s="52"/>
      <c r="O425" s="52"/>
    </row>
    <row r="426" spans="1:15" s="1" customFormat="1">
      <c r="A426" s="211"/>
      <c r="B426" s="211"/>
      <c r="C426" s="211"/>
      <c r="D426" s="216"/>
      <c r="E426" s="115"/>
      <c r="F426" s="217"/>
      <c r="G426" s="218"/>
      <c r="I426" s="52"/>
      <c r="J426" s="52"/>
      <c r="K426" s="52"/>
      <c r="L426" s="52"/>
      <c r="M426" s="52"/>
      <c r="N426" s="52"/>
      <c r="O426" s="52"/>
    </row>
    <row r="427" spans="1:15" s="1" customFormat="1">
      <c r="A427" s="211"/>
      <c r="B427" s="211"/>
      <c r="C427" s="211"/>
      <c r="D427" s="216"/>
      <c r="E427" s="115"/>
      <c r="F427" s="217"/>
      <c r="G427" s="218"/>
      <c r="I427" s="52"/>
      <c r="J427" s="52"/>
      <c r="K427" s="52"/>
      <c r="L427" s="52"/>
      <c r="M427" s="52"/>
      <c r="N427" s="52"/>
      <c r="O427" s="52"/>
    </row>
    <row r="428" spans="1:15" s="1" customFormat="1">
      <c r="A428" s="211"/>
      <c r="B428" s="211"/>
      <c r="C428" s="211"/>
      <c r="D428" s="216"/>
      <c r="E428" s="115"/>
      <c r="F428" s="217"/>
      <c r="G428" s="218"/>
      <c r="I428" s="52"/>
      <c r="J428" s="52"/>
      <c r="K428" s="52"/>
      <c r="L428" s="52"/>
      <c r="M428" s="52"/>
      <c r="N428" s="52"/>
      <c r="O428" s="52"/>
    </row>
    <row r="429" spans="1:15" s="1" customFormat="1">
      <c r="A429" s="211"/>
      <c r="B429" s="211"/>
      <c r="C429" s="211"/>
      <c r="D429" s="216"/>
      <c r="E429" s="115"/>
      <c r="F429" s="217"/>
      <c r="G429" s="218"/>
      <c r="I429" s="52"/>
      <c r="J429" s="52"/>
      <c r="K429" s="52"/>
      <c r="L429" s="52"/>
      <c r="M429" s="52"/>
      <c r="N429" s="52"/>
      <c r="O429" s="52"/>
    </row>
    <row r="430" spans="1:15" s="1" customFormat="1">
      <c r="A430" s="211"/>
      <c r="B430" s="211"/>
      <c r="C430" s="211"/>
      <c r="D430" s="216"/>
      <c r="E430" s="115"/>
      <c r="F430" s="217"/>
      <c r="G430" s="218"/>
      <c r="I430" s="52"/>
      <c r="J430" s="52"/>
      <c r="K430" s="52"/>
      <c r="L430" s="52"/>
      <c r="M430" s="52"/>
      <c r="N430" s="52"/>
      <c r="O430" s="52"/>
    </row>
    <row r="431" spans="1:15" s="1" customFormat="1">
      <c r="A431" s="211"/>
      <c r="B431" s="211"/>
      <c r="C431" s="211"/>
      <c r="D431" s="216"/>
      <c r="E431" s="115"/>
      <c r="F431" s="217"/>
      <c r="G431" s="218"/>
      <c r="I431" s="52"/>
      <c r="J431" s="52"/>
      <c r="K431" s="52"/>
      <c r="L431" s="52"/>
      <c r="M431" s="52"/>
      <c r="N431" s="52"/>
      <c r="O431" s="52"/>
    </row>
    <row r="432" spans="1:15" s="1" customFormat="1">
      <c r="A432" s="211"/>
      <c r="B432" s="211"/>
      <c r="C432" s="211"/>
      <c r="D432" s="216"/>
      <c r="E432" s="115"/>
      <c r="F432" s="217"/>
      <c r="G432" s="218"/>
      <c r="I432" s="52"/>
      <c r="J432" s="52"/>
      <c r="K432" s="52"/>
      <c r="L432" s="52"/>
      <c r="M432" s="52"/>
      <c r="N432" s="52"/>
      <c r="O432" s="52"/>
    </row>
    <row r="433" spans="1:15" s="1" customFormat="1">
      <c r="A433" s="211"/>
      <c r="B433" s="211"/>
      <c r="C433" s="211"/>
      <c r="D433" s="216"/>
      <c r="E433" s="115"/>
      <c r="F433" s="217"/>
      <c r="G433" s="218"/>
      <c r="I433" s="52"/>
      <c r="J433" s="52"/>
      <c r="K433" s="52"/>
      <c r="L433" s="52"/>
      <c r="M433" s="52"/>
      <c r="N433" s="52"/>
      <c r="O433" s="52"/>
    </row>
    <row r="434" spans="1:15" s="1" customFormat="1">
      <c r="A434" s="211"/>
      <c r="B434" s="211"/>
      <c r="C434" s="211"/>
      <c r="D434" s="216"/>
      <c r="E434" s="115"/>
      <c r="F434" s="217"/>
      <c r="G434" s="218"/>
      <c r="I434" s="52"/>
      <c r="J434" s="52"/>
      <c r="K434" s="52"/>
      <c r="L434" s="52"/>
      <c r="M434" s="52"/>
      <c r="N434" s="52"/>
      <c r="O434" s="52"/>
    </row>
    <row r="435" spans="1:15" s="1" customFormat="1">
      <c r="A435" s="211"/>
      <c r="B435" s="211"/>
      <c r="C435" s="211"/>
      <c r="D435" s="216"/>
      <c r="E435" s="115"/>
      <c r="F435" s="217"/>
      <c r="G435" s="218"/>
      <c r="I435" s="52"/>
      <c r="J435" s="52"/>
      <c r="K435" s="52"/>
      <c r="L435" s="52"/>
      <c r="M435" s="52"/>
      <c r="N435" s="52"/>
      <c r="O435" s="52"/>
    </row>
    <row r="436" spans="1:15" s="1" customFormat="1">
      <c r="A436" s="211"/>
      <c r="B436" s="211"/>
      <c r="C436" s="211"/>
      <c r="D436" s="216"/>
      <c r="E436" s="115"/>
      <c r="F436" s="217"/>
      <c r="G436" s="218"/>
      <c r="I436" s="52"/>
      <c r="J436" s="52"/>
      <c r="K436" s="52"/>
      <c r="L436" s="52"/>
      <c r="M436" s="52"/>
      <c r="N436" s="52"/>
      <c r="O436" s="52"/>
    </row>
    <row r="437" spans="1:15" s="1" customFormat="1">
      <c r="A437" s="211"/>
      <c r="B437" s="211"/>
      <c r="C437" s="211"/>
      <c r="D437" s="216"/>
      <c r="E437" s="115"/>
      <c r="F437" s="217"/>
      <c r="G437" s="218"/>
      <c r="I437" s="52"/>
      <c r="J437" s="52"/>
      <c r="K437" s="52"/>
      <c r="L437" s="52"/>
      <c r="M437" s="52"/>
      <c r="N437" s="52"/>
      <c r="O437" s="52"/>
    </row>
    <row r="438" spans="1:15" s="1" customFormat="1">
      <c r="A438" s="211"/>
      <c r="B438" s="211"/>
      <c r="C438" s="211"/>
      <c r="D438" s="216"/>
      <c r="E438" s="115"/>
      <c r="F438" s="217"/>
      <c r="G438" s="218"/>
      <c r="I438" s="52"/>
      <c r="J438" s="52"/>
      <c r="K438" s="52"/>
      <c r="L438" s="52"/>
      <c r="M438" s="52"/>
      <c r="N438" s="52"/>
      <c r="O438" s="52"/>
    </row>
    <row r="439" spans="1:15" s="1" customFormat="1">
      <c r="A439" s="211"/>
      <c r="B439" s="211"/>
      <c r="C439" s="211"/>
      <c r="D439" s="216"/>
      <c r="E439" s="115"/>
      <c r="F439" s="217"/>
      <c r="G439" s="218"/>
      <c r="I439" s="52"/>
      <c r="J439" s="52"/>
      <c r="K439" s="52"/>
      <c r="L439" s="52"/>
      <c r="M439" s="52"/>
      <c r="N439" s="52"/>
      <c r="O439" s="52"/>
    </row>
    <row r="440" spans="1:15" s="1" customFormat="1">
      <c r="A440" s="211"/>
      <c r="B440" s="211"/>
      <c r="C440" s="211"/>
      <c r="D440" s="216"/>
      <c r="E440" s="115"/>
      <c r="F440" s="217"/>
      <c r="G440" s="218"/>
      <c r="I440" s="52"/>
      <c r="J440" s="52"/>
      <c r="K440" s="52"/>
      <c r="L440" s="52"/>
      <c r="M440" s="52"/>
      <c r="N440" s="52"/>
      <c r="O440" s="52"/>
    </row>
    <row r="441" spans="1:15" s="1" customFormat="1">
      <c r="A441" s="211"/>
      <c r="B441" s="211"/>
      <c r="C441" s="211"/>
      <c r="D441" s="216"/>
      <c r="E441" s="115"/>
      <c r="F441" s="217"/>
      <c r="G441" s="218"/>
      <c r="I441" s="52"/>
      <c r="J441" s="52"/>
      <c r="K441" s="52"/>
      <c r="L441" s="52"/>
      <c r="M441" s="52"/>
      <c r="N441" s="52"/>
      <c r="O441" s="52"/>
    </row>
    <row r="442" spans="1:15" s="1" customFormat="1">
      <c r="A442" s="211"/>
      <c r="B442" s="211"/>
      <c r="C442" s="211"/>
      <c r="D442" s="216"/>
      <c r="E442" s="115"/>
      <c r="F442" s="217"/>
      <c r="G442" s="218"/>
      <c r="I442" s="52"/>
      <c r="J442" s="52"/>
      <c r="K442" s="52"/>
      <c r="L442" s="52"/>
      <c r="M442" s="52"/>
      <c r="N442" s="52"/>
      <c r="O442" s="52"/>
    </row>
    <row r="443" spans="1:15" s="1" customFormat="1">
      <c r="A443" s="211"/>
      <c r="B443" s="211"/>
      <c r="C443" s="211"/>
      <c r="D443" s="216"/>
      <c r="E443" s="115"/>
      <c r="F443" s="217"/>
      <c r="G443" s="218"/>
      <c r="I443" s="52"/>
      <c r="J443" s="52"/>
      <c r="K443" s="52"/>
      <c r="L443" s="52"/>
      <c r="M443" s="52"/>
      <c r="N443" s="52"/>
      <c r="O443" s="52"/>
    </row>
    <row r="444" spans="1:15" s="1" customFormat="1">
      <c r="A444" s="211"/>
      <c r="B444" s="211"/>
      <c r="C444" s="211"/>
      <c r="D444" s="216"/>
      <c r="E444" s="115"/>
      <c r="F444" s="217"/>
      <c r="G444" s="218"/>
      <c r="I444" s="52"/>
      <c r="J444" s="52"/>
      <c r="K444" s="52"/>
      <c r="L444" s="52"/>
      <c r="M444" s="52"/>
      <c r="N444" s="52"/>
      <c r="O444" s="52"/>
    </row>
    <row r="445" spans="1:15" s="1" customFormat="1">
      <c r="A445" s="211"/>
      <c r="B445" s="211"/>
      <c r="C445" s="211"/>
      <c r="D445" s="216"/>
      <c r="E445" s="115"/>
      <c r="F445" s="217"/>
      <c r="G445" s="218"/>
      <c r="I445" s="52"/>
      <c r="J445" s="52"/>
      <c r="K445" s="52"/>
      <c r="L445" s="52"/>
      <c r="M445" s="52"/>
      <c r="N445" s="52"/>
      <c r="O445" s="52"/>
    </row>
    <row r="446" spans="1:15" s="1" customFormat="1">
      <c r="A446" s="211"/>
      <c r="B446" s="211"/>
      <c r="C446" s="211"/>
      <c r="D446" s="216"/>
      <c r="E446" s="115"/>
      <c r="F446" s="217"/>
      <c r="G446" s="218"/>
      <c r="I446" s="52"/>
      <c r="J446" s="52"/>
      <c r="K446" s="52"/>
      <c r="L446" s="52"/>
      <c r="M446" s="52"/>
      <c r="N446" s="52"/>
      <c r="O446" s="52"/>
    </row>
    <row r="447" spans="1:15" s="1" customFormat="1">
      <c r="A447" s="211"/>
      <c r="B447" s="211"/>
      <c r="C447" s="211"/>
      <c r="D447" s="216"/>
      <c r="E447" s="115"/>
      <c r="F447" s="217"/>
      <c r="G447" s="218"/>
      <c r="I447" s="52"/>
      <c r="J447" s="52"/>
      <c r="K447" s="52"/>
      <c r="L447" s="52"/>
      <c r="M447" s="52"/>
      <c r="N447" s="52"/>
      <c r="O447" s="52"/>
    </row>
    <row r="448" spans="1:15" s="1" customFormat="1">
      <c r="A448" s="211"/>
      <c r="B448" s="211"/>
      <c r="C448" s="211"/>
      <c r="D448" s="216"/>
      <c r="E448" s="115"/>
      <c r="F448" s="217"/>
      <c r="G448" s="218"/>
      <c r="I448" s="52"/>
      <c r="J448" s="52"/>
      <c r="K448" s="52"/>
      <c r="L448" s="52"/>
      <c r="M448" s="52"/>
      <c r="N448" s="52"/>
      <c r="O448" s="52"/>
    </row>
    <row r="449" spans="1:15" s="1" customFormat="1">
      <c r="A449" s="211"/>
      <c r="B449" s="211"/>
      <c r="C449" s="211"/>
      <c r="D449" s="216"/>
      <c r="E449" s="115"/>
      <c r="F449" s="217"/>
      <c r="G449" s="218"/>
      <c r="I449" s="52"/>
      <c r="J449" s="52"/>
      <c r="K449" s="52"/>
      <c r="L449" s="52"/>
      <c r="M449" s="52"/>
      <c r="N449" s="52"/>
      <c r="O449" s="52"/>
    </row>
    <row r="450" spans="1:15" s="1" customFormat="1">
      <c r="A450" s="211"/>
      <c r="B450" s="211"/>
      <c r="C450" s="211"/>
      <c r="D450" s="216"/>
      <c r="E450" s="115"/>
      <c r="F450" s="217"/>
      <c r="G450" s="218"/>
      <c r="I450" s="52"/>
      <c r="J450" s="52"/>
      <c r="K450" s="52"/>
      <c r="L450" s="52"/>
      <c r="M450" s="52"/>
      <c r="N450" s="52"/>
      <c r="O450" s="52"/>
    </row>
    <row r="451" spans="1:15" s="1" customFormat="1">
      <c r="A451" s="211"/>
      <c r="B451" s="211"/>
      <c r="C451" s="211"/>
      <c r="D451" s="216"/>
      <c r="E451" s="115"/>
      <c r="F451" s="217"/>
      <c r="G451" s="218"/>
      <c r="I451" s="52"/>
      <c r="J451" s="52"/>
      <c r="K451" s="52"/>
      <c r="L451" s="52"/>
      <c r="M451" s="52"/>
      <c r="N451" s="52"/>
      <c r="O451" s="52"/>
    </row>
    <row r="452" spans="1:15" s="1" customFormat="1">
      <c r="A452" s="211"/>
      <c r="B452" s="211"/>
      <c r="C452" s="211"/>
      <c r="D452" s="216"/>
      <c r="E452" s="115"/>
      <c r="F452" s="217"/>
      <c r="G452" s="218"/>
      <c r="I452" s="52"/>
      <c r="J452" s="52"/>
      <c r="K452" s="52"/>
      <c r="L452" s="52"/>
      <c r="M452" s="52"/>
      <c r="N452" s="52"/>
      <c r="O452" s="52"/>
    </row>
    <row r="453" spans="1:15" s="1" customFormat="1">
      <c r="A453" s="211"/>
      <c r="B453" s="211"/>
      <c r="C453" s="211"/>
      <c r="D453" s="216"/>
      <c r="E453" s="115"/>
      <c r="F453" s="217"/>
      <c r="G453" s="218"/>
      <c r="I453" s="52"/>
      <c r="J453" s="52"/>
      <c r="K453" s="52"/>
      <c r="L453" s="52"/>
      <c r="M453" s="52"/>
      <c r="N453" s="52"/>
      <c r="O453" s="52"/>
    </row>
    <row r="454" spans="1:15" s="1" customFormat="1">
      <c r="A454" s="211"/>
      <c r="B454" s="211"/>
      <c r="C454" s="211"/>
      <c r="D454" s="216"/>
      <c r="E454" s="115"/>
      <c r="F454" s="217"/>
      <c r="G454" s="218"/>
      <c r="I454" s="52"/>
      <c r="J454" s="52"/>
      <c r="K454" s="52"/>
      <c r="L454" s="52"/>
      <c r="M454" s="52"/>
      <c r="N454" s="52"/>
      <c r="O454" s="52"/>
    </row>
    <row r="455" spans="1:15" s="1" customFormat="1">
      <c r="A455" s="211"/>
      <c r="B455" s="211"/>
      <c r="C455" s="211"/>
      <c r="D455" s="216"/>
      <c r="E455" s="115"/>
      <c r="F455" s="217"/>
      <c r="G455" s="218"/>
      <c r="I455" s="52"/>
      <c r="J455" s="52"/>
      <c r="K455" s="52"/>
      <c r="L455" s="52"/>
      <c r="M455" s="52"/>
      <c r="N455" s="52"/>
      <c r="O455" s="52"/>
    </row>
    <row r="456" spans="1:15" s="1" customFormat="1">
      <c r="A456" s="211"/>
      <c r="B456" s="211"/>
      <c r="C456" s="211"/>
      <c r="D456" s="216"/>
      <c r="E456" s="115"/>
      <c r="F456" s="217"/>
      <c r="G456" s="218"/>
      <c r="I456" s="52"/>
      <c r="J456" s="52"/>
      <c r="K456" s="52"/>
      <c r="L456" s="52"/>
      <c r="M456" s="52"/>
      <c r="N456" s="52"/>
      <c r="O456" s="52"/>
    </row>
    <row r="457" spans="1:15" s="1" customFormat="1">
      <c r="A457" s="211"/>
      <c r="B457" s="211"/>
      <c r="C457" s="211"/>
      <c r="D457" s="216"/>
      <c r="E457" s="115"/>
      <c r="F457" s="217"/>
      <c r="G457" s="218"/>
      <c r="I457" s="52"/>
      <c r="J457" s="52"/>
      <c r="K457" s="52"/>
      <c r="L457" s="52"/>
      <c r="M457" s="52"/>
      <c r="N457" s="52"/>
      <c r="O457" s="52"/>
    </row>
    <row r="458" spans="1:15" s="1" customFormat="1">
      <c r="A458" s="211"/>
      <c r="B458" s="211"/>
      <c r="C458" s="211"/>
      <c r="D458" s="216"/>
      <c r="E458" s="115"/>
      <c r="F458" s="217"/>
      <c r="G458" s="218"/>
      <c r="I458" s="52"/>
      <c r="J458" s="52"/>
      <c r="K458" s="52"/>
      <c r="L458" s="52"/>
      <c r="M458" s="52"/>
      <c r="N458" s="52"/>
      <c r="O458" s="52"/>
    </row>
    <row r="459" spans="1:15" s="1" customFormat="1">
      <c r="A459" s="211"/>
      <c r="B459" s="211"/>
      <c r="C459" s="211"/>
      <c r="D459" s="216"/>
      <c r="E459" s="115"/>
      <c r="F459" s="217"/>
      <c r="G459" s="218"/>
      <c r="I459" s="52"/>
      <c r="J459" s="52"/>
      <c r="K459" s="52"/>
      <c r="L459" s="52"/>
      <c r="M459" s="52"/>
      <c r="N459" s="52"/>
      <c r="O459" s="52"/>
    </row>
    <row r="460" spans="1:15" s="1" customFormat="1">
      <c r="A460" s="211"/>
      <c r="B460" s="211"/>
      <c r="C460" s="211"/>
      <c r="D460" s="216"/>
      <c r="E460" s="115"/>
      <c r="F460" s="217"/>
      <c r="G460" s="218"/>
      <c r="I460" s="52"/>
      <c r="J460" s="52"/>
      <c r="K460" s="52"/>
      <c r="L460" s="52"/>
      <c r="M460" s="52"/>
      <c r="N460" s="52"/>
      <c r="O460" s="52"/>
    </row>
    <row r="461" spans="1:15" s="1" customFormat="1">
      <c r="A461" s="211"/>
      <c r="B461" s="211"/>
      <c r="C461" s="211"/>
      <c r="D461" s="216"/>
      <c r="E461" s="115"/>
      <c r="F461" s="217"/>
      <c r="G461" s="218"/>
      <c r="I461" s="52"/>
      <c r="J461" s="52"/>
      <c r="K461" s="52"/>
      <c r="L461" s="52"/>
      <c r="M461" s="52"/>
      <c r="N461" s="52"/>
      <c r="O461" s="52"/>
    </row>
    <row r="462" spans="1:15" s="1" customFormat="1">
      <c r="A462" s="211"/>
      <c r="B462" s="211"/>
      <c r="C462" s="211"/>
      <c r="D462" s="216"/>
      <c r="E462" s="115"/>
      <c r="F462" s="217"/>
      <c r="G462" s="218"/>
      <c r="I462" s="52"/>
      <c r="J462" s="52"/>
      <c r="K462" s="52"/>
      <c r="L462" s="52"/>
      <c r="M462" s="52"/>
      <c r="N462" s="52"/>
      <c r="O462" s="52"/>
    </row>
    <row r="463" spans="1:15" s="1" customFormat="1">
      <c r="A463" s="211"/>
      <c r="B463" s="211"/>
      <c r="C463" s="211"/>
      <c r="D463" s="216"/>
      <c r="E463" s="115"/>
      <c r="F463" s="217"/>
      <c r="G463" s="218"/>
      <c r="I463" s="52"/>
      <c r="J463" s="52"/>
      <c r="K463" s="52"/>
      <c r="L463" s="52"/>
      <c r="M463" s="52"/>
      <c r="N463" s="52"/>
      <c r="O463" s="52"/>
    </row>
    <row r="464" spans="1:15" s="1" customFormat="1">
      <c r="A464" s="211"/>
      <c r="B464" s="211"/>
      <c r="C464" s="211"/>
      <c r="D464" s="216"/>
      <c r="E464" s="115"/>
      <c r="F464" s="217"/>
      <c r="G464" s="218"/>
      <c r="I464" s="52"/>
      <c r="J464" s="52"/>
      <c r="K464" s="52"/>
      <c r="L464" s="52"/>
      <c r="M464" s="52"/>
      <c r="N464" s="52"/>
      <c r="O464" s="52"/>
    </row>
    <row r="465" spans="1:15" s="1" customFormat="1">
      <c r="A465" s="211"/>
      <c r="B465" s="211"/>
      <c r="C465" s="211"/>
      <c r="D465" s="216"/>
      <c r="E465" s="115"/>
      <c r="F465" s="217"/>
      <c r="G465" s="218"/>
      <c r="I465" s="52"/>
      <c r="J465" s="52"/>
      <c r="K465" s="52"/>
      <c r="L465" s="52"/>
      <c r="M465" s="52"/>
      <c r="N465" s="52"/>
      <c r="O465" s="52"/>
    </row>
    <row r="466" spans="1:15" s="1" customFormat="1">
      <c r="A466" s="211"/>
      <c r="B466" s="211"/>
      <c r="C466" s="211"/>
      <c r="D466" s="216"/>
      <c r="E466" s="115"/>
      <c r="F466" s="217"/>
      <c r="G466" s="218"/>
      <c r="I466" s="52"/>
      <c r="J466" s="52"/>
      <c r="K466" s="52"/>
      <c r="L466" s="52"/>
      <c r="M466" s="52"/>
      <c r="N466" s="52"/>
      <c r="O466" s="52"/>
    </row>
    <row r="467" spans="1:15" s="1" customFormat="1">
      <c r="A467" s="211"/>
      <c r="B467" s="211"/>
      <c r="C467" s="211"/>
      <c r="D467" s="216"/>
      <c r="E467" s="115"/>
      <c r="F467" s="217"/>
      <c r="G467" s="218"/>
      <c r="I467" s="52"/>
      <c r="J467" s="52"/>
      <c r="K467" s="52"/>
      <c r="L467" s="52"/>
      <c r="M467" s="52"/>
      <c r="N467" s="52"/>
      <c r="O467" s="52"/>
    </row>
    <row r="468" spans="1:15" s="1" customFormat="1">
      <c r="A468" s="211"/>
      <c r="B468" s="211"/>
      <c r="C468" s="211"/>
      <c r="D468" s="216"/>
      <c r="E468" s="115"/>
      <c r="F468" s="217"/>
      <c r="G468" s="218"/>
      <c r="I468" s="52"/>
      <c r="J468" s="52"/>
      <c r="K468" s="52"/>
      <c r="L468" s="52"/>
      <c r="M468" s="52"/>
      <c r="N468" s="52"/>
      <c r="O468" s="52"/>
    </row>
    <row r="469" spans="1:15" s="1" customFormat="1">
      <c r="A469" s="211"/>
      <c r="B469" s="211"/>
      <c r="C469" s="211"/>
      <c r="D469" s="216"/>
      <c r="E469" s="115"/>
      <c r="F469" s="217"/>
      <c r="G469" s="218"/>
      <c r="I469" s="52"/>
      <c r="J469" s="52"/>
      <c r="K469" s="52"/>
      <c r="L469" s="52"/>
      <c r="M469" s="52"/>
      <c r="N469" s="52"/>
      <c r="O469" s="52"/>
    </row>
    <row r="470" spans="1:15" s="1" customFormat="1">
      <c r="A470" s="211"/>
      <c r="B470" s="211"/>
      <c r="C470" s="211"/>
      <c r="D470" s="216"/>
      <c r="E470" s="115"/>
      <c r="F470" s="217"/>
      <c r="G470" s="218"/>
      <c r="I470" s="52"/>
      <c r="J470" s="52"/>
      <c r="K470" s="52"/>
      <c r="L470" s="52"/>
      <c r="M470" s="52"/>
      <c r="N470" s="52"/>
      <c r="O470" s="52"/>
    </row>
    <row r="471" spans="1:15" s="1" customFormat="1">
      <c r="A471" s="211"/>
      <c r="B471" s="211"/>
      <c r="C471" s="211"/>
      <c r="D471" s="216"/>
      <c r="E471" s="115"/>
      <c r="F471" s="217"/>
      <c r="G471" s="218"/>
      <c r="I471" s="52"/>
      <c r="J471" s="52"/>
      <c r="K471" s="52"/>
      <c r="L471" s="52"/>
      <c r="M471" s="52"/>
      <c r="N471" s="52"/>
      <c r="O471" s="52"/>
    </row>
    <row r="472" spans="1:15" s="1" customFormat="1">
      <c r="A472" s="211"/>
      <c r="B472" s="211"/>
      <c r="C472" s="211"/>
      <c r="D472" s="216"/>
      <c r="E472" s="115"/>
      <c r="F472" s="217"/>
      <c r="G472" s="218"/>
      <c r="I472" s="52"/>
      <c r="J472" s="52"/>
      <c r="K472" s="52"/>
      <c r="L472" s="52"/>
      <c r="M472" s="52"/>
      <c r="N472" s="52"/>
      <c r="O472" s="52"/>
    </row>
    <row r="473" spans="1:15" s="1" customFormat="1">
      <c r="A473" s="211"/>
      <c r="B473" s="211"/>
      <c r="C473" s="211"/>
      <c r="D473" s="216"/>
      <c r="E473" s="115"/>
      <c r="F473" s="217"/>
      <c r="G473" s="218"/>
      <c r="I473" s="52"/>
      <c r="J473" s="52"/>
      <c r="K473" s="52"/>
      <c r="L473" s="52"/>
      <c r="M473" s="52"/>
      <c r="N473" s="52"/>
      <c r="O473" s="52"/>
    </row>
    <row r="474" spans="1:15" s="1" customFormat="1">
      <c r="A474" s="211"/>
      <c r="B474" s="211"/>
      <c r="C474" s="211"/>
      <c r="D474" s="216"/>
      <c r="E474" s="115"/>
      <c r="F474" s="217"/>
      <c r="G474" s="218"/>
      <c r="I474" s="52"/>
      <c r="J474" s="52"/>
      <c r="K474" s="52"/>
      <c r="L474" s="52"/>
      <c r="M474" s="52"/>
      <c r="N474" s="52"/>
      <c r="O474" s="52"/>
    </row>
    <row r="475" spans="1:15" s="1" customFormat="1">
      <c r="A475" s="211"/>
      <c r="B475" s="211"/>
      <c r="C475" s="211"/>
      <c r="D475" s="216"/>
      <c r="E475" s="115"/>
      <c r="F475" s="217"/>
      <c r="G475" s="218"/>
      <c r="I475" s="52"/>
      <c r="J475" s="52"/>
      <c r="K475" s="52"/>
      <c r="L475" s="52"/>
      <c r="M475" s="52"/>
      <c r="N475" s="52"/>
      <c r="O475" s="52"/>
    </row>
    <row r="476" spans="1:15" s="1" customFormat="1">
      <c r="A476" s="211"/>
      <c r="B476" s="211"/>
      <c r="C476" s="211"/>
      <c r="D476" s="216"/>
      <c r="E476" s="115"/>
      <c r="F476" s="217"/>
      <c r="G476" s="218"/>
      <c r="I476" s="52"/>
      <c r="J476" s="52"/>
      <c r="K476" s="52"/>
      <c r="L476" s="52"/>
      <c r="M476" s="52"/>
      <c r="N476" s="52"/>
      <c r="O476" s="52"/>
    </row>
    <row r="477" spans="1:15" s="1" customFormat="1">
      <c r="A477" s="211"/>
      <c r="B477" s="211"/>
      <c r="C477" s="211"/>
      <c r="D477" s="216"/>
      <c r="E477" s="115"/>
      <c r="F477" s="217"/>
      <c r="G477" s="218"/>
      <c r="I477" s="52"/>
      <c r="J477" s="52"/>
      <c r="K477" s="52"/>
      <c r="L477" s="52"/>
      <c r="M477" s="52"/>
      <c r="N477" s="52"/>
      <c r="O477" s="52"/>
    </row>
    <row r="478" spans="1:15" s="1" customFormat="1">
      <c r="A478" s="211"/>
      <c r="B478" s="211"/>
      <c r="C478" s="211"/>
      <c r="D478" s="216"/>
      <c r="E478" s="115"/>
      <c r="F478" s="217"/>
      <c r="G478" s="218"/>
      <c r="I478" s="52"/>
      <c r="J478" s="52"/>
      <c r="K478" s="52"/>
      <c r="L478" s="52"/>
      <c r="M478" s="52"/>
      <c r="N478" s="52"/>
      <c r="O478" s="52"/>
    </row>
    <row r="479" spans="1:15" s="1" customFormat="1">
      <c r="A479" s="211"/>
      <c r="B479" s="211"/>
      <c r="C479" s="211"/>
      <c r="D479" s="216"/>
      <c r="E479" s="115"/>
      <c r="F479" s="217"/>
      <c r="G479" s="218"/>
      <c r="I479" s="52"/>
      <c r="J479" s="52"/>
      <c r="K479" s="52"/>
      <c r="L479" s="52"/>
      <c r="M479" s="52"/>
      <c r="N479" s="52"/>
      <c r="O479" s="52"/>
    </row>
    <row r="480" spans="1:15" s="1" customFormat="1">
      <c r="A480" s="211"/>
      <c r="B480" s="211"/>
      <c r="C480" s="211"/>
      <c r="D480" s="216"/>
      <c r="E480" s="115"/>
      <c r="F480" s="217"/>
      <c r="G480" s="218"/>
      <c r="I480" s="52"/>
      <c r="J480" s="52"/>
      <c r="K480" s="52"/>
      <c r="L480" s="52"/>
      <c r="M480" s="52"/>
      <c r="N480" s="52"/>
      <c r="O480" s="52"/>
    </row>
    <row r="481" spans="1:15" s="1" customFormat="1">
      <c r="A481" s="211"/>
      <c r="B481" s="211"/>
      <c r="C481" s="211"/>
      <c r="D481" s="216"/>
      <c r="E481" s="115"/>
      <c r="F481" s="217"/>
      <c r="G481" s="218"/>
      <c r="I481" s="52"/>
      <c r="J481" s="52"/>
      <c r="K481" s="52"/>
      <c r="L481" s="52"/>
      <c r="M481" s="52"/>
      <c r="N481" s="52"/>
      <c r="O481" s="52"/>
    </row>
    <row r="482" spans="1:15" s="1" customFormat="1">
      <c r="A482" s="211"/>
      <c r="B482" s="211"/>
      <c r="C482" s="211"/>
      <c r="D482" s="216"/>
      <c r="E482" s="115"/>
      <c r="F482" s="217"/>
      <c r="G482" s="218"/>
      <c r="I482" s="52"/>
      <c r="J482" s="52"/>
      <c r="K482" s="52"/>
      <c r="L482" s="52"/>
      <c r="M482" s="52"/>
      <c r="N482" s="52"/>
      <c r="O482" s="52"/>
    </row>
    <row r="483" spans="1:15" s="1" customFormat="1">
      <c r="A483" s="211"/>
      <c r="B483" s="211"/>
      <c r="C483" s="211"/>
      <c r="D483" s="216"/>
      <c r="E483" s="115"/>
      <c r="F483" s="217"/>
      <c r="G483" s="218"/>
      <c r="I483" s="52"/>
      <c r="J483" s="52"/>
      <c r="K483" s="52"/>
      <c r="L483" s="52"/>
      <c r="M483" s="52"/>
      <c r="N483" s="52"/>
      <c r="O483" s="52"/>
    </row>
    <row r="484" spans="1:15" s="1" customFormat="1">
      <c r="A484" s="211"/>
      <c r="B484" s="211"/>
      <c r="C484" s="211"/>
      <c r="D484" s="216"/>
      <c r="E484" s="115"/>
      <c r="F484" s="217"/>
      <c r="G484" s="218"/>
      <c r="I484" s="52"/>
      <c r="J484" s="52"/>
      <c r="K484" s="52"/>
      <c r="L484" s="52"/>
      <c r="M484" s="52"/>
      <c r="N484" s="52"/>
      <c r="O484" s="52"/>
    </row>
    <row r="485" spans="1:15" s="1" customFormat="1">
      <c r="A485" s="211"/>
      <c r="B485" s="211"/>
      <c r="C485" s="211"/>
      <c r="D485" s="216"/>
      <c r="E485" s="115"/>
      <c r="F485" s="217"/>
      <c r="G485" s="218"/>
      <c r="I485" s="52"/>
      <c r="J485" s="52"/>
      <c r="K485" s="52"/>
      <c r="L485" s="52"/>
      <c r="M485" s="52"/>
      <c r="N485" s="52"/>
      <c r="O485" s="52"/>
    </row>
    <row r="486" spans="1:15" s="1" customFormat="1">
      <c r="A486" s="211"/>
      <c r="B486" s="211"/>
      <c r="C486" s="211"/>
      <c r="D486" s="216"/>
      <c r="E486" s="115"/>
      <c r="F486" s="217"/>
      <c r="G486" s="218"/>
      <c r="I486" s="52"/>
      <c r="J486" s="52"/>
      <c r="K486" s="52"/>
      <c r="L486" s="52"/>
      <c r="M486" s="52"/>
      <c r="N486" s="52"/>
      <c r="O486" s="52"/>
    </row>
    <row r="487" spans="1:15" s="1" customFormat="1">
      <c r="A487" s="211"/>
      <c r="B487" s="211"/>
      <c r="C487" s="211"/>
      <c r="D487" s="216"/>
      <c r="E487" s="115"/>
      <c r="F487" s="217"/>
      <c r="G487" s="218"/>
      <c r="I487" s="52"/>
      <c r="J487" s="52"/>
      <c r="K487" s="52"/>
      <c r="L487" s="52"/>
      <c r="M487" s="52"/>
      <c r="N487" s="52"/>
      <c r="O487" s="52"/>
    </row>
    <row r="488" spans="1:15" s="1" customFormat="1">
      <c r="A488" s="211"/>
      <c r="B488" s="211"/>
      <c r="C488" s="211"/>
      <c r="D488" s="216"/>
      <c r="E488" s="115"/>
      <c r="F488" s="217"/>
      <c r="G488" s="218"/>
      <c r="I488" s="52"/>
      <c r="J488" s="52"/>
      <c r="K488" s="52"/>
      <c r="L488" s="52"/>
      <c r="M488" s="52"/>
      <c r="N488" s="52"/>
      <c r="O488" s="52"/>
    </row>
    <row r="489" spans="1:15" s="1" customFormat="1">
      <c r="A489" s="211"/>
      <c r="B489" s="211"/>
      <c r="C489" s="211"/>
      <c r="D489" s="216"/>
      <c r="E489" s="115"/>
      <c r="F489" s="217"/>
      <c r="G489" s="218"/>
      <c r="I489" s="52"/>
      <c r="J489" s="52"/>
      <c r="K489" s="52"/>
      <c r="L489" s="52"/>
      <c r="M489" s="52"/>
      <c r="N489" s="52"/>
      <c r="O489" s="52"/>
    </row>
    <row r="490" spans="1:15" s="1" customFormat="1">
      <c r="A490" s="211"/>
      <c r="B490" s="211"/>
      <c r="C490" s="211"/>
      <c r="D490" s="216"/>
      <c r="E490" s="115"/>
      <c r="F490" s="217"/>
      <c r="G490" s="218"/>
      <c r="I490" s="52"/>
      <c r="J490" s="52"/>
      <c r="K490" s="52"/>
      <c r="L490" s="52"/>
      <c r="M490" s="52"/>
      <c r="N490" s="52"/>
      <c r="O490" s="52"/>
    </row>
    <row r="491" spans="1:15" s="1" customFormat="1">
      <c r="A491" s="211"/>
      <c r="B491" s="211"/>
      <c r="C491" s="211"/>
      <c r="D491" s="216"/>
      <c r="E491" s="115"/>
      <c r="F491" s="217"/>
      <c r="G491" s="218"/>
      <c r="I491" s="52"/>
      <c r="J491" s="52"/>
      <c r="K491" s="52"/>
      <c r="L491" s="52"/>
      <c r="M491" s="52"/>
      <c r="N491" s="52"/>
      <c r="O491" s="52"/>
    </row>
    <row r="492" spans="1:15" s="1" customFormat="1">
      <c r="A492" s="211"/>
      <c r="B492" s="211"/>
      <c r="C492" s="211"/>
      <c r="D492" s="216"/>
      <c r="E492" s="115"/>
      <c r="F492" s="217"/>
      <c r="G492" s="218"/>
      <c r="I492" s="52"/>
      <c r="J492" s="52"/>
      <c r="K492" s="52"/>
      <c r="L492" s="52"/>
      <c r="M492" s="52"/>
      <c r="N492" s="52"/>
      <c r="O492" s="52"/>
    </row>
    <row r="493" spans="1:15" s="1" customFormat="1">
      <c r="A493" s="211"/>
      <c r="B493" s="211"/>
      <c r="C493" s="211"/>
      <c r="D493" s="216"/>
      <c r="E493" s="115"/>
      <c r="F493" s="217"/>
      <c r="G493" s="218"/>
      <c r="I493" s="52"/>
      <c r="J493" s="52"/>
      <c r="K493" s="52"/>
      <c r="L493" s="52"/>
      <c r="M493" s="52"/>
      <c r="N493" s="52"/>
      <c r="O493" s="52"/>
    </row>
    <row r="494" spans="1:15" s="1" customFormat="1">
      <c r="A494" s="211"/>
      <c r="B494" s="211"/>
      <c r="C494" s="211"/>
      <c r="D494" s="216"/>
      <c r="E494" s="115"/>
      <c r="F494" s="217"/>
      <c r="G494" s="218"/>
      <c r="I494" s="52"/>
      <c r="J494" s="52"/>
      <c r="K494" s="52"/>
      <c r="L494" s="52"/>
      <c r="M494" s="52"/>
      <c r="N494" s="52"/>
      <c r="O494" s="52"/>
    </row>
    <row r="495" spans="1:15" s="1" customFormat="1">
      <c r="A495" s="211"/>
      <c r="B495" s="211"/>
      <c r="C495" s="211"/>
      <c r="D495" s="216"/>
      <c r="E495" s="115"/>
      <c r="F495" s="217"/>
      <c r="G495" s="218"/>
      <c r="I495" s="52"/>
      <c r="J495" s="52"/>
      <c r="K495" s="52"/>
      <c r="L495" s="52"/>
      <c r="M495" s="52"/>
      <c r="N495" s="52"/>
      <c r="O495" s="52"/>
    </row>
    <row r="496" spans="1:15" s="1" customFormat="1">
      <c r="A496" s="211"/>
      <c r="B496" s="211"/>
      <c r="C496" s="211"/>
      <c r="D496" s="216"/>
      <c r="E496" s="115"/>
      <c r="F496" s="217"/>
      <c r="G496" s="218"/>
      <c r="I496" s="52"/>
      <c r="J496" s="52"/>
      <c r="K496" s="52"/>
      <c r="L496" s="52"/>
      <c r="M496" s="52"/>
      <c r="N496" s="52"/>
      <c r="O496" s="52"/>
    </row>
    <row r="497" spans="1:15" s="1" customFormat="1">
      <c r="A497" s="211"/>
      <c r="B497" s="211"/>
      <c r="C497" s="211"/>
      <c r="D497" s="216"/>
      <c r="E497" s="115"/>
      <c r="F497" s="217"/>
      <c r="G497" s="218"/>
      <c r="I497" s="52"/>
      <c r="J497" s="52"/>
      <c r="K497" s="52"/>
      <c r="L497" s="52"/>
      <c r="M497" s="52"/>
      <c r="N497" s="52"/>
      <c r="O497" s="52"/>
    </row>
    <row r="498" spans="1:15" s="1" customFormat="1">
      <c r="A498" s="211"/>
      <c r="B498" s="211"/>
      <c r="C498" s="211"/>
      <c r="D498" s="216"/>
      <c r="E498" s="115"/>
      <c r="F498" s="217"/>
      <c r="G498" s="218"/>
      <c r="I498" s="52"/>
      <c r="J498" s="52"/>
      <c r="K498" s="52"/>
      <c r="L498" s="52"/>
      <c r="M498" s="52"/>
      <c r="N498" s="52"/>
      <c r="O498" s="52"/>
    </row>
    <row r="499" spans="1:15" s="1" customFormat="1">
      <c r="A499" s="211"/>
      <c r="B499" s="211"/>
      <c r="C499" s="211"/>
      <c r="D499" s="216"/>
      <c r="E499" s="115"/>
      <c r="F499" s="217"/>
      <c r="G499" s="218"/>
      <c r="I499" s="52"/>
      <c r="J499" s="52"/>
      <c r="K499" s="52"/>
      <c r="L499" s="52"/>
      <c r="M499" s="52"/>
      <c r="N499" s="52"/>
      <c r="O499" s="52"/>
    </row>
    <row r="500" spans="1:15" s="1" customFormat="1">
      <c r="A500" s="211"/>
      <c r="B500" s="211"/>
      <c r="C500" s="211"/>
      <c r="D500" s="216"/>
      <c r="E500" s="115"/>
      <c r="F500" s="217"/>
      <c r="G500" s="218"/>
      <c r="I500" s="52"/>
      <c r="J500" s="52"/>
      <c r="K500" s="52"/>
      <c r="L500" s="52"/>
      <c r="M500" s="52"/>
      <c r="N500" s="52"/>
      <c r="O500" s="52"/>
    </row>
    <row r="501" spans="1:15" s="1" customFormat="1">
      <c r="A501" s="211"/>
      <c r="B501" s="211"/>
      <c r="C501" s="211"/>
      <c r="D501" s="216"/>
      <c r="E501" s="115"/>
      <c r="F501" s="217"/>
      <c r="G501" s="218"/>
      <c r="I501" s="52"/>
      <c r="J501" s="52"/>
      <c r="K501" s="52"/>
      <c r="L501" s="52"/>
      <c r="M501" s="52"/>
      <c r="N501" s="52"/>
      <c r="O501" s="52"/>
    </row>
    <row r="502" spans="1:15" s="1" customFormat="1">
      <c r="A502" s="211"/>
      <c r="B502" s="211"/>
      <c r="C502" s="211"/>
      <c r="D502" s="216"/>
      <c r="E502" s="115"/>
      <c r="F502" s="217"/>
      <c r="G502" s="218"/>
      <c r="I502" s="52"/>
      <c r="J502" s="52"/>
      <c r="K502" s="52"/>
      <c r="L502" s="52"/>
      <c r="M502" s="52"/>
      <c r="N502" s="52"/>
      <c r="O502" s="52"/>
    </row>
    <row r="503" spans="1:15" s="1" customFormat="1">
      <c r="A503" s="211"/>
      <c r="B503" s="211"/>
      <c r="C503" s="211"/>
      <c r="D503" s="216"/>
      <c r="E503" s="115"/>
      <c r="F503" s="217"/>
      <c r="G503" s="218"/>
      <c r="I503" s="52"/>
      <c r="J503" s="52"/>
      <c r="K503" s="52"/>
      <c r="L503" s="52"/>
      <c r="M503" s="52"/>
      <c r="N503" s="52"/>
      <c r="O503" s="52"/>
    </row>
    <row r="504" spans="1:15" s="1" customFormat="1">
      <c r="A504" s="211"/>
      <c r="B504" s="211"/>
      <c r="C504" s="211"/>
      <c r="D504" s="216"/>
      <c r="E504" s="115"/>
      <c r="F504" s="217"/>
      <c r="G504" s="218"/>
      <c r="I504" s="52"/>
      <c r="J504" s="52"/>
      <c r="K504" s="52"/>
      <c r="L504" s="52"/>
      <c r="M504" s="52"/>
      <c r="N504" s="52"/>
      <c r="O504" s="52"/>
    </row>
    <row r="505" spans="1:15" s="1" customFormat="1">
      <c r="A505" s="211"/>
      <c r="B505" s="211"/>
      <c r="C505" s="211"/>
      <c r="D505" s="216"/>
      <c r="E505" s="115"/>
      <c r="F505" s="217"/>
      <c r="G505" s="218"/>
      <c r="I505" s="52"/>
      <c r="J505" s="52"/>
      <c r="K505" s="52"/>
      <c r="L505" s="52"/>
      <c r="M505" s="52"/>
      <c r="N505" s="52"/>
      <c r="O505" s="52"/>
    </row>
    <row r="506" spans="1:15" s="1" customFormat="1">
      <c r="A506" s="211"/>
      <c r="B506" s="211"/>
      <c r="C506" s="211"/>
      <c r="D506" s="216"/>
      <c r="E506" s="115"/>
      <c r="F506" s="217"/>
      <c r="G506" s="218"/>
      <c r="I506" s="52"/>
      <c r="J506" s="52"/>
      <c r="K506" s="52"/>
      <c r="L506" s="52"/>
      <c r="M506" s="52"/>
      <c r="N506" s="52"/>
      <c r="O506" s="52"/>
    </row>
    <row r="507" spans="1:15" s="1" customFormat="1">
      <c r="A507" s="211"/>
      <c r="B507" s="211"/>
      <c r="C507" s="211"/>
      <c r="D507" s="216"/>
      <c r="E507" s="115"/>
      <c r="F507" s="217"/>
      <c r="G507" s="218"/>
      <c r="I507" s="52"/>
      <c r="J507" s="52"/>
      <c r="K507" s="52"/>
      <c r="L507" s="52"/>
      <c r="M507" s="52"/>
      <c r="N507" s="52"/>
      <c r="O507" s="52"/>
    </row>
    <row r="508" spans="1:15" s="1" customFormat="1">
      <c r="A508" s="211"/>
      <c r="B508" s="211"/>
      <c r="C508" s="211"/>
      <c r="D508" s="216"/>
      <c r="E508" s="115"/>
      <c r="F508" s="217"/>
      <c r="G508" s="218"/>
      <c r="I508" s="52"/>
      <c r="J508" s="52"/>
      <c r="K508" s="52"/>
      <c r="L508" s="52"/>
      <c r="M508" s="52"/>
      <c r="N508" s="52"/>
      <c r="O508" s="52"/>
    </row>
    <row r="509" spans="1:15" s="1" customFormat="1">
      <c r="B509" s="102"/>
      <c r="E509" s="3"/>
      <c r="F509" s="3"/>
      <c r="I509" s="52"/>
      <c r="J509" s="52"/>
      <c r="K509" s="52"/>
      <c r="L509" s="52"/>
      <c r="M509" s="52"/>
      <c r="N509" s="52"/>
      <c r="O509" s="52"/>
    </row>
    <row r="510" spans="1:15" s="1" customFormat="1">
      <c r="B510" s="102"/>
      <c r="E510" s="3"/>
      <c r="F510" s="3"/>
      <c r="I510" s="52"/>
      <c r="J510" s="52"/>
      <c r="K510" s="52"/>
      <c r="L510" s="52"/>
      <c r="M510" s="52"/>
      <c r="N510" s="52"/>
      <c r="O510" s="52"/>
    </row>
    <row r="511" spans="1:15" s="1" customFormat="1">
      <c r="B511" s="102"/>
      <c r="E511" s="3"/>
      <c r="F511" s="3"/>
      <c r="I511" s="52"/>
      <c r="J511" s="52"/>
      <c r="K511" s="52"/>
      <c r="L511" s="52"/>
      <c r="M511" s="52"/>
      <c r="N511" s="52"/>
      <c r="O511" s="52"/>
    </row>
    <row r="512" spans="1:15" s="1" customFormat="1">
      <c r="A512" s="52"/>
      <c r="B512" s="52"/>
      <c r="C512" s="52"/>
      <c r="D512" s="52"/>
      <c r="E512" s="52"/>
      <c r="I512" s="52"/>
      <c r="J512" s="52"/>
      <c r="K512" s="52"/>
      <c r="L512" s="52"/>
      <c r="M512" s="52"/>
      <c r="N512" s="52"/>
      <c r="O512" s="52"/>
    </row>
    <row r="513" spans="1:15" s="1" customFormat="1">
      <c r="A513" s="34"/>
      <c r="E513" s="242"/>
      <c r="I513" s="52"/>
      <c r="J513" s="52"/>
      <c r="K513" s="52"/>
      <c r="L513" s="52"/>
      <c r="M513" s="52"/>
      <c r="N513" s="52"/>
      <c r="O513" s="52"/>
    </row>
    <row r="514" spans="1:15" s="1" customFormat="1" ht="13.2">
      <c r="A514" s="34"/>
      <c r="B514" s="243"/>
      <c r="E514" s="242"/>
      <c r="I514" s="52"/>
      <c r="J514" s="52"/>
      <c r="K514" s="52"/>
      <c r="L514" s="52"/>
      <c r="M514" s="52"/>
      <c r="N514" s="52"/>
      <c r="O514" s="52"/>
    </row>
  </sheetData>
  <sheetProtection formatCells="0" formatColumns="0" formatRows="0" insertColumns="0" insertRows="0" insertHyperlinks="0" deleteColumns="0" deleteRows="0" sort="0" autoFilter="0" pivotTables="0"/>
  <mergeCells count="35">
    <mergeCell ref="C400:D400"/>
    <mergeCell ref="C401:D401"/>
    <mergeCell ref="C402:D402"/>
    <mergeCell ref="C403:D403"/>
    <mergeCell ref="C404:D404"/>
    <mergeCell ref="C399:D399"/>
    <mergeCell ref="C129:F129"/>
    <mergeCell ref="C137:F137"/>
    <mergeCell ref="A178:H178"/>
    <mergeCell ref="A180:H180"/>
    <mergeCell ref="A181:H181"/>
    <mergeCell ref="C284:D284"/>
    <mergeCell ref="A333:B333"/>
    <mergeCell ref="A350:C350"/>
    <mergeCell ref="B386:G386"/>
    <mergeCell ref="C395:C397"/>
    <mergeCell ref="C398:D398"/>
    <mergeCell ref="A126:H126"/>
    <mergeCell ref="C20:D20"/>
    <mergeCell ref="B28:B33"/>
    <mergeCell ref="A35:H35"/>
    <mergeCell ref="B38:G38"/>
    <mergeCell ref="A52:H52"/>
    <mergeCell ref="A54:H54"/>
    <mergeCell ref="C73:D73"/>
    <mergeCell ref="C74:D74"/>
    <mergeCell ref="C80:D80"/>
    <mergeCell ref="C81:D81"/>
    <mergeCell ref="C95:D95"/>
    <mergeCell ref="C19:D19"/>
    <mergeCell ref="A1:H2"/>
    <mergeCell ref="A3:G4"/>
    <mergeCell ref="A13:H13"/>
    <mergeCell ref="B15:E15"/>
    <mergeCell ref="C18:D18"/>
  </mergeCells>
  <pageMargins left="0.51180555555555596" right="0.51180555555555596" top="0.78680555555555598" bottom="0.78680555555555598" header="0.31388888888888899" footer="0.31388888888888899"/>
  <pageSetup paperSize="9" scale="61" fitToHeight="6" orientation="portrait" r:id="rId1"/>
  <rowBreaks count="4" manualBreakCount="4">
    <brk id="99" max="6" man="1"/>
    <brk id="201" max="6" man="1"/>
    <brk id="309" max="6" man="1"/>
    <brk id="386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93"/>
  <sheetViews>
    <sheetView view="pageBreakPreview" topLeftCell="A478" zoomScale="96" zoomScaleNormal="100" zoomScaleSheetLayoutView="96" workbookViewId="0">
      <selection activeCell="K398" sqref="K398"/>
    </sheetView>
  </sheetViews>
  <sheetFormatPr defaultColWidth="11.44140625" defaultRowHeight="11.4"/>
  <cols>
    <col min="1" max="1" width="11.44140625" style="1" customWidth="1"/>
    <col min="2" max="2" width="29.88671875" style="1" customWidth="1"/>
    <col min="3" max="3" width="20.6640625" style="1" customWidth="1"/>
    <col min="4" max="4" width="39" style="1" customWidth="1"/>
    <col min="5" max="5" width="20.33203125" style="1" customWidth="1"/>
    <col min="6" max="6" width="17.88671875" style="1" customWidth="1"/>
    <col min="7" max="7" width="11.44140625" style="1" customWidth="1"/>
    <col min="8" max="8" width="12.6640625" style="52" customWidth="1"/>
    <col min="9" max="9" width="14.6640625" style="52" customWidth="1"/>
    <col min="10" max="16384" width="11.44140625" style="52"/>
  </cols>
  <sheetData>
    <row r="1" spans="1:9" ht="11.25" customHeight="1">
      <c r="A1" s="779" t="s">
        <v>178</v>
      </c>
      <c r="B1" s="730"/>
      <c r="C1" s="730"/>
      <c r="D1" s="730"/>
      <c r="E1" s="730"/>
      <c r="F1" s="730"/>
      <c r="G1" s="730"/>
    </row>
    <row r="2" spans="1:9" ht="11.25" customHeight="1">
      <c r="A2" s="779"/>
      <c r="B2" s="730"/>
      <c r="C2" s="730"/>
      <c r="D2" s="730"/>
      <c r="E2" s="730"/>
      <c r="F2" s="730"/>
      <c r="G2" s="730"/>
    </row>
    <row r="3" spans="1:9" ht="14.25" customHeight="1">
      <c r="A3" s="780" t="str">
        <f>'QUADRO GERAL'!B6</f>
        <v>COLETA MECANIZADA COM MUNCK E TRANSPORTE DE RESÍDUOS DEPOSITADOS EM CONTÊINERES SEMIENTERRADOS E/OU SOTERRADOS ATÉ O DESTINO FINAL</v>
      </c>
      <c r="B3" s="780"/>
      <c r="C3" s="780"/>
      <c r="D3" s="780"/>
      <c r="E3" s="780"/>
      <c r="F3" s="780"/>
      <c r="G3" s="780"/>
    </row>
    <row r="4" spans="1:9" ht="30" customHeight="1">
      <c r="A4" s="780"/>
      <c r="B4" s="780"/>
      <c r="C4" s="780"/>
      <c r="D4" s="780"/>
      <c r="E4" s="780"/>
      <c r="F4" s="780"/>
      <c r="G4" s="780"/>
    </row>
    <row r="5" spans="1:9">
      <c r="E5" s="2"/>
      <c r="F5" s="3"/>
      <c r="G5" s="4"/>
    </row>
    <row r="6" spans="1:9" ht="12" thickBot="1">
      <c r="B6" s="6" t="s">
        <v>179</v>
      </c>
      <c r="C6" s="7"/>
      <c r="D6" s="7"/>
      <c r="E6" s="8"/>
      <c r="F6" s="9"/>
    </row>
    <row r="7" spans="1:9">
      <c r="B7" s="338" t="s">
        <v>180</v>
      </c>
      <c r="C7" s="11"/>
      <c r="D7" s="12"/>
      <c r="E7" s="219">
        <v>1</v>
      </c>
      <c r="F7" s="13" t="s">
        <v>564</v>
      </c>
      <c r="G7" s="14"/>
    </row>
    <row r="8" spans="1:9">
      <c r="B8" s="339" t="s">
        <v>180</v>
      </c>
      <c r="C8" s="16"/>
      <c r="D8" s="17"/>
      <c r="E8" s="21">
        <v>12</v>
      </c>
      <c r="F8" s="19" t="s">
        <v>183</v>
      </c>
      <c r="G8" s="23"/>
    </row>
    <row r="9" spans="1:9" ht="13.2">
      <c r="B9" s="339" t="s">
        <v>184</v>
      </c>
      <c r="C9" s="16"/>
      <c r="D9" s="17"/>
      <c r="E9" s="18">
        <v>26.08</v>
      </c>
      <c r="F9" s="19" t="s">
        <v>185</v>
      </c>
      <c r="G9" s="20"/>
      <c r="I9" s="400"/>
    </row>
    <row r="10" spans="1:9" ht="15" customHeight="1">
      <c r="B10" s="15" t="s">
        <v>543</v>
      </c>
      <c r="C10" s="16"/>
      <c r="D10" s="17"/>
      <c r="E10" s="18">
        <v>5000</v>
      </c>
      <c r="F10" s="340" t="s">
        <v>460</v>
      </c>
      <c r="G10" s="20"/>
    </row>
    <row r="11" spans="1:9" ht="15" hidden="1" customHeight="1">
      <c r="B11" s="15" t="s">
        <v>544</v>
      </c>
      <c r="C11" s="16"/>
      <c r="D11" s="17"/>
      <c r="E11" s="18">
        <v>0</v>
      </c>
      <c r="F11" s="340" t="s">
        <v>460</v>
      </c>
      <c r="G11" s="398"/>
    </row>
    <row r="12" spans="1:9" ht="13.8">
      <c r="A12" s="757" t="s">
        <v>187</v>
      </c>
      <c r="B12" s="758"/>
      <c r="C12" s="758"/>
      <c r="D12" s="758"/>
      <c r="E12" s="758"/>
      <c r="F12" s="758"/>
      <c r="G12" s="758"/>
    </row>
    <row r="13" spans="1:9">
      <c r="A13" s="3"/>
    </row>
    <row r="14" spans="1:9">
      <c r="A14" s="32"/>
      <c r="B14" s="759" t="s">
        <v>641</v>
      </c>
      <c r="C14" s="760"/>
      <c r="D14" s="760"/>
      <c r="E14" s="761"/>
    </row>
    <row r="15" spans="1:9" ht="12" thickBot="1">
      <c r="A15" s="3"/>
    </row>
    <row r="16" spans="1:9">
      <c r="B16" s="10"/>
      <c r="C16" s="11"/>
      <c r="D16" s="12"/>
      <c r="E16" s="33"/>
      <c r="F16" s="13"/>
      <c r="G16" s="14"/>
    </row>
    <row r="17" spans="2:8">
      <c r="B17" s="86"/>
      <c r="C17" s="764" t="s">
        <v>188</v>
      </c>
      <c r="D17" s="765"/>
      <c r="E17" s="18">
        <v>8</v>
      </c>
      <c r="F17" s="19" t="s">
        <v>189</v>
      </c>
      <c r="G17" s="23"/>
    </row>
    <row r="18" spans="2:8" ht="13.2">
      <c r="B18" s="15"/>
      <c r="C18" s="764" t="s">
        <v>190</v>
      </c>
      <c r="D18" s="765"/>
      <c r="E18" s="18">
        <v>2</v>
      </c>
      <c r="F18" s="19" t="s">
        <v>642</v>
      </c>
      <c r="G18" s="20"/>
    </row>
    <row r="19" spans="2:8">
      <c r="B19" s="15"/>
      <c r="C19" s="764" t="s">
        <v>192</v>
      </c>
      <c r="D19" s="765"/>
      <c r="E19" s="396">
        <f>(E7/E9/E17)/E18</f>
        <v>2.3964723926380369E-3</v>
      </c>
      <c r="F19" s="340" t="s">
        <v>193</v>
      </c>
      <c r="G19" s="23"/>
    </row>
    <row r="20" spans="2:8" ht="12" thickBot="1">
      <c r="B20" s="24"/>
      <c r="C20" s="25"/>
      <c r="D20" s="48"/>
      <c r="E20" s="221"/>
      <c r="F20" s="28"/>
      <c r="G20" s="694"/>
    </row>
    <row r="21" spans="2:8" hidden="1">
      <c r="B21" s="339" t="s">
        <v>194</v>
      </c>
      <c r="C21" s="11"/>
      <c r="D21" s="12"/>
      <c r="E21" s="33" t="s">
        <v>195</v>
      </c>
      <c r="F21" s="33"/>
      <c r="G21" s="14"/>
    </row>
    <row r="22" spans="2:8" hidden="1">
      <c r="B22" s="15"/>
      <c r="C22" s="37" t="s">
        <v>196</v>
      </c>
      <c r="D22" s="38">
        <v>1</v>
      </c>
      <c r="E22" s="258">
        <v>0</v>
      </c>
      <c r="F22" s="19" t="s">
        <v>197</v>
      </c>
      <c r="G22" s="23"/>
    </row>
    <row r="23" spans="2:8" ht="12.75" hidden="1" customHeight="1">
      <c r="B23" s="15"/>
      <c r="C23" s="37" t="s">
        <v>198</v>
      </c>
      <c r="D23" s="41">
        <v>0.9</v>
      </c>
      <c r="E23" s="258">
        <v>0</v>
      </c>
      <c r="F23" s="19" t="s">
        <v>197</v>
      </c>
      <c r="G23" s="20"/>
    </row>
    <row r="24" spans="2:8" ht="13.2" hidden="1">
      <c r="B24" s="15"/>
      <c r="C24" s="37" t="s">
        <v>199</v>
      </c>
      <c r="D24" s="41">
        <v>0.1</v>
      </c>
      <c r="E24" s="258">
        <v>0</v>
      </c>
      <c r="F24" s="19" t="s">
        <v>197</v>
      </c>
      <c r="G24" s="20"/>
    </row>
    <row r="25" spans="2:8" ht="12.75" hidden="1" customHeight="1" thickBot="1">
      <c r="B25" s="24"/>
      <c r="C25" s="25"/>
      <c r="D25" s="26"/>
      <c r="E25" s="223"/>
      <c r="F25" s="28"/>
      <c r="G25" s="29"/>
    </row>
    <row r="26" spans="2:8" hidden="1">
      <c r="B26" s="43" t="s">
        <v>200</v>
      </c>
      <c r="C26" s="11"/>
      <c r="D26" s="12"/>
      <c r="E26" s="33"/>
      <c r="F26" s="44"/>
      <c r="G26" s="14"/>
    </row>
    <row r="27" spans="2:8" hidden="1">
      <c r="B27" s="775"/>
      <c r="C27" s="16"/>
      <c r="D27" s="17" t="s">
        <v>201</v>
      </c>
      <c r="E27" s="45" t="s">
        <v>202</v>
      </c>
      <c r="F27" s="45" t="s">
        <v>203</v>
      </c>
      <c r="G27" s="23"/>
    </row>
    <row r="28" spans="2:8" hidden="1">
      <c r="B28" s="775"/>
      <c r="C28" s="16"/>
      <c r="D28" s="37" t="s">
        <v>204</v>
      </c>
      <c r="E28" s="259">
        <v>4</v>
      </c>
      <c r="F28" s="259">
        <v>0</v>
      </c>
      <c r="G28" s="23"/>
    </row>
    <row r="29" spans="2:8" hidden="1">
      <c r="B29" s="775"/>
      <c r="C29" s="16"/>
      <c r="D29" s="37" t="s">
        <v>490</v>
      </c>
      <c r="E29" s="259">
        <v>0</v>
      </c>
      <c r="F29" s="259">
        <v>0</v>
      </c>
      <c r="G29" s="23"/>
    </row>
    <row r="30" spans="2:8" hidden="1">
      <c r="B30" s="775"/>
      <c r="C30" s="16"/>
      <c r="D30" s="37" t="s">
        <v>205</v>
      </c>
      <c r="E30" s="259">
        <v>0</v>
      </c>
      <c r="F30" s="259"/>
      <c r="G30" s="23"/>
    </row>
    <row r="31" spans="2:8" ht="13.2" hidden="1">
      <c r="B31" s="775"/>
      <c r="C31" s="16"/>
      <c r="D31" s="37" t="s">
        <v>206</v>
      </c>
      <c r="E31" s="259">
        <f>ROUND(E24,0)</f>
        <v>0</v>
      </c>
      <c r="F31" s="259" t="s">
        <v>166</v>
      </c>
      <c r="G31" s="20"/>
      <c r="H31" s="226"/>
    </row>
    <row r="32" spans="2:8" hidden="1">
      <c r="B32" s="775"/>
      <c r="C32" s="16"/>
      <c r="D32" s="37" t="s">
        <v>207</v>
      </c>
      <c r="E32" s="39">
        <f>E28+E29</f>
        <v>4</v>
      </c>
      <c r="F32" s="39">
        <v>0</v>
      </c>
      <c r="G32" s="23"/>
      <c r="H32" s="226"/>
    </row>
    <row r="33" spans="1:8" ht="11.25" hidden="1" customHeight="1" thickBot="1">
      <c r="B33" s="776"/>
      <c r="C33" s="25"/>
      <c r="D33" s="48"/>
      <c r="E33" s="48"/>
      <c r="F33" s="48"/>
      <c r="G33" s="49"/>
      <c r="H33" s="226"/>
    </row>
    <row r="34" spans="1:8" ht="12.75" customHeight="1">
      <c r="C34" s="50"/>
      <c r="D34" s="42"/>
      <c r="H34" s="226"/>
    </row>
    <row r="35" spans="1:8" ht="12.75" customHeight="1">
      <c r="A35" s="757" t="s">
        <v>208</v>
      </c>
      <c r="B35" s="758"/>
      <c r="C35" s="758"/>
      <c r="D35" s="758"/>
      <c r="E35" s="758"/>
      <c r="F35" s="758"/>
      <c r="G35" s="758"/>
      <c r="H35" s="226"/>
    </row>
    <row r="36" spans="1:8" ht="12.75" customHeight="1">
      <c r="H36" s="226"/>
    </row>
    <row r="37" spans="1:8">
      <c r="B37" s="34"/>
      <c r="C37" s="51"/>
      <c r="H37" s="226"/>
    </row>
    <row r="38" spans="1:8">
      <c r="A38" s="52"/>
      <c r="B38" s="766" t="s">
        <v>518</v>
      </c>
      <c r="C38" s="760"/>
      <c r="D38" s="760"/>
      <c r="E38" s="760"/>
      <c r="F38" s="760"/>
      <c r="G38" s="761"/>
      <c r="H38" s="226"/>
    </row>
    <row r="39" spans="1:8">
      <c r="A39" s="52"/>
      <c r="B39" s="244" t="s">
        <v>538</v>
      </c>
      <c r="C39" s="53">
        <v>1</v>
      </c>
      <c r="D39" s="52"/>
      <c r="E39" s="52"/>
      <c r="F39" s="52"/>
      <c r="G39" s="52"/>
      <c r="H39" s="226"/>
    </row>
    <row r="40" spans="1:8">
      <c r="A40" s="52"/>
      <c r="B40" s="244" t="s">
        <v>540</v>
      </c>
      <c r="C40" s="53">
        <v>3</v>
      </c>
      <c r="D40" s="52"/>
      <c r="E40" s="52"/>
      <c r="F40" s="3"/>
      <c r="G40" s="3"/>
    </row>
    <row r="41" spans="1:8" ht="12" thickBot="1"/>
    <row r="42" spans="1:8">
      <c r="B42" s="54"/>
      <c r="C42" s="13"/>
      <c r="D42" s="12"/>
      <c r="E42" s="13"/>
      <c r="F42" s="13"/>
      <c r="G42" s="14"/>
    </row>
    <row r="43" spans="1:8" hidden="1">
      <c r="B43" s="55"/>
      <c r="C43" s="56"/>
      <c r="D43" s="17" t="s">
        <v>212</v>
      </c>
      <c r="E43" s="21">
        <v>0</v>
      </c>
      <c r="F43" s="19"/>
      <c r="G43" s="23"/>
    </row>
    <row r="44" spans="1:8" hidden="1">
      <c r="B44" s="55"/>
      <c r="C44" s="341" t="s">
        <v>213</v>
      </c>
      <c r="D44" s="57" t="s">
        <v>209</v>
      </c>
      <c r="E44" s="21">
        <f>C37*(E28*C40)</f>
        <v>0</v>
      </c>
      <c r="F44" s="19"/>
      <c r="G44" s="23"/>
    </row>
    <row r="45" spans="1:8" ht="12" hidden="1" thickBot="1">
      <c r="B45" s="55"/>
      <c r="C45" s="59"/>
      <c r="D45" s="60" t="s">
        <v>210</v>
      </c>
      <c r="E45" s="21" t="e">
        <f>C37*#REF!</f>
        <v>#REF!</v>
      </c>
      <c r="F45" s="19"/>
      <c r="G45" s="23"/>
    </row>
    <row r="46" spans="1:8" hidden="1">
      <c r="B46" s="55"/>
      <c r="C46" s="56"/>
      <c r="D46" s="17" t="s">
        <v>212</v>
      </c>
      <c r="E46" s="21">
        <v>0</v>
      </c>
      <c r="F46" s="19"/>
      <c r="G46" s="23"/>
    </row>
    <row r="47" spans="1:8" hidden="1">
      <c r="B47" s="55"/>
      <c r="C47" s="341" t="s">
        <v>214</v>
      </c>
      <c r="D47" s="57" t="s">
        <v>209</v>
      </c>
      <c r="E47" s="21">
        <f>C37*(E29*C40)</f>
        <v>0</v>
      </c>
      <c r="F47" s="19"/>
      <c r="G47" s="23"/>
    </row>
    <row r="48" spans="1:8" ht="12" hidden="1" thickBot="1">
      <c r="B48" s="55"/>
      <c r="C48" s="59"/>
      <c r="D48" s="60" t="s">
        <v>211</v>
      </c>
      <c r="E48" s="21" t="e">
        <f>C37*#REF!</f>
        <v>#REF!</v>
      </c>
      <c r="F48" s="19"/>
      <c r="G48" s="23"/>
    </row>
    <row r="49" spans="1:8">
      <c r="B49" s="61"/>
      <c r="C49" s="342" t="s">
        <v>215</v>
      </c>
      <c r="D49" s="57" t="s">
        <v>56</v>
      </c>
      <c r="E49" s="21">
        <f>C39</f>
        <v>1</v>
      </c>
      <c r="F49" s="19"/>
      <c r="G49" s="23"/>
    </row>
    <row r="50" spans="1:8">
      <c r="B50" s="61"/>
      <c r="C50" s="58"/>
      <c r="D50" s="57" t="s">
        <v>209</v>
      </c>
      <c r="E50" s="21">
        <f>C40</f>
        <v>3</v>
      </c>
      <c r="F50" s="19"/>
      <c r="G50" s="23"/>
    </row>
    <row r="51" spans="1:8">
      <c r="B51" s="61"/>
      <c r="C51" s="58"/>
      <c r="D51" s="57" t="s">
        <v>210</v>
      </c>
      <c r="E51" s="21">
        <v>0</v>
      </c>
      <c r="F51" s="19"/>
      <c r="G51" s="23"/>
    </row>
    <row r="52" spans="1:8" hidden="1">
      <c r="B52" s="15"/>
      <c r="C52" s="117"/>
      <c r="D52" s="17" t="s">
        <v>212</v>
      </c>
      <c r="E52" s="21">
        <f>E43+E46</f>
        <v>0</v>
      </c>
      <c r="F52" s="19"/>
      <c r="G52" s="23"/>
    </row>
    <row r="53" spans="1:8" hidden="1">
      <c r="B53" s="15"/>
      <c r="C53" s="117"/>
      <c r="D53" s="17" t="s">
        <v>219</v>
      </c>
      <c r="E53" s="21" t="e">
        <f>E51+#REF!</f>
        <v>#REF!</v>
      </c>
      <c r="F53" s="19"/>
      <c r="G53" s="35"/>
    </row>
    <row r="54" spans="1:8" ht="12" thickBot="1">
      <c r="B54" s="24"/>
      <c r="C54" s="25"/>
      <c r="D54" s="26"/>
      <c r="E54" s="28"/>
      <c r="F54" s="28"/>
      <c r="G54" s="29"/>
    </row>
    <row r="55" spans="1:8">
      <c r="C55" s="63"/>
      <c r="D55" s="64"/>
      <c r="F55" s="65"/>
      <c r="G55" s="63"/>
    </row>
    <row r="56" spans="1:8" ht="13.8">
      <c r="A56" s="757" t="s">
        <v>220</v>
      </c>
      <c r="B56" s="758"/>
      <c r="C56" s="758"/>
      <c r="D56" s="758"/>
      <c r="E56" s="758"/>
      <c r="F56" s="758"/>
      <c r="G56" s="758"/>
    </row>
    <row r="58" spans="1:8">
      <c r="A58" s="767" t="s">
        <v>221</v>
      </c>
      <c r="B58" s="767"/>
      <c r="C58" s="767"/>
      <c r="D58" s="767"/>
      <c r="E58" s="767"/>
      <c r="F58" s="767"/>
      <c r="G58" s="767"/>
    </row>
    <row r="59" spans="1:8" ht="12" thickBot="1"/>
    <row r="60" spans="1:8">
      <c r="B60" s="343" t="s">
        <v>222</v>
      </c>
      <c r="C60" s="67" t="s">
        <v>223</v>
      </c>
      <c r="D60" s="67" t="s">
        <v>224</v>
      </c>
      <c r="E60" s="68" t="s">
        <v>225</v>
      </c>
      <c r="F60" s="13"/>
      <c r="G60" s="14"/>
    </row>
    <row r="61" spans="1:8">
      <c r="B61" s="69" t="s">
        <v>56</v>
      </c>
      <c r="C61" s="70">
        <f>E49</f>
        <v>1</v>
      </c>
      <c r="D61" s="71">
        <f>'01-Coleta domiciliar'!D148</f>
        <v>2500</v>
      </c>
      <c r="E61" s="72">
        <f>+D61*C61</f>
        <v>2500</v>
      </c>
      <c r="F61" s="19"/>
      <c r="G61" s="23"/>
    </row>
    <row r="62" spans="1:8">
      <c r="B62" s="358" t="s">
        <v>519</v>
      </c>
      <c r="C62" s="70">
        <f>E50</f>
        <v>3</v>
      </c>
      <c r="D62" s="71">
        <f>'01-Coleta domiciliar'!D149</f>
        <v>1533.63</v>
      </c>
      <c r="E62" s="72">
        <f>+D62*C62</f>
        <v>4600.8900000000003</v>
      </c>
      <c r="F62" s="19"/>
      <c r="G62" s="23"/>
      <c r="H62" s="400">
        <f>D61+D67</f>
        <v>3068</v>
      </c>
    </row>
    <row r="63" spans="1:8" hidden="1">
      <c r="B63" s="69" t="s">
        <v>227</v>
      </c>
      <c r="C63" s="70">
        <f>E52</f>
        <v>0</v>
      </c>
      <c r="D63" s="71">
        <f>'DADOS DE ENTRADA'!B21</f>
        <v>1342.9</v>
      </c>
      <c r="E63" s="72">
        <f>+D63*C63</f>
        <v>0</v>
      </c>
      <c r="F63" s="19"/>
      <c r="G63" s="23"/>
    </row>
    <row r="64" spans="1:8">
      <c r="B64" s="73"/>
      <c r="C64" s="74"/>
      <c r="D64" s="75" t="s">
        <v>228</v>
      </c>
      <c r="E64" s="76">
        <f>SUM(E61:E63)</f>
        <v>7100.89</v>
      </c>
      <c r="F64" s="77" t="s">
        <v>229</v>
      </c>
      <c r="G64" s="23"/>
      <c r="H64" s="400">
        <f>D62+D68</f>
        <v>2101.63</v>
      </c>
    </row>
    <row r="65" spans="2:8">
      <c r="B65" s="78"/>
      <c r="C65" s="79"/>
      <c r="D65" s="19"/>
      <c r="E65" s="80"/>
      <c r="F65" s="80"/>
      <c r="G65" s="23"/>
    </row>
    <row r="66" spans="2:8">
      <c r="B66" s="81" t="s">
        <v>230</v>
      </c>
      <c r="C66" s="82" t="s">
        <v>223</v>
      </c>
      <c r="D66" s="83" t="s">
        <v>224</v>
      </c>
      <c r="E66" s="83" t="s">
        <v>225</v>
      </c>
      <c r="F66" s="19"/>
      <c r="G66" s="23"/>
    </row>
    <row r="67" spans="2:8">
      <c r="B67" s="69" t="s">
        <v>56</v>
      </c>
      <c r="C67" s="70">
        <f>E49</f>
        <v>1</v>
      </c>
      <c r="D67" s="71">
        <v>568</v>
      </c>
      <c r="E67" s="72">
        <f>+D67*C67</f>
        <v>568</v>
      </c>
      <c r="F67" s="19"/>
      <c r="G67" s="23"/>
    </row>
    <row r="68" spans="2:8">
      <c r="B68" s="358" t="s">
        <v>519</v>
      </c>
      <c r="C68" s="70">
        <f>E50</f>
        <v>3</v>
      </c>
      <c r="D68" s="71">
        <f>D67</f>
        <v>568</v>
      </c>
      <c r="E68" s="72">
        <f>+D68*C68</f>
        <v>1704</v>
      </c>
      <c r="F68" s="19"/>
      <c r="G68" s="23"/>
    </row>
    <row r="69" spans="2:8" hidden="1">
      <c r="B69" s="69" t="s">
        <v>227</v>
      </c>
      <c r="C69" s="70">
        <f>C63</f>
        <v>0</v>
      </c>
      <c r="D69" s="71">
        <f>'DADOS DE ENTRADA'!B24*'DADOS DE ENTRADA'!B33</f>
        <v>242.4</v>
      </c>
      <c r="E69" s="72">
        <f>+D69*C69</f>
        <v>0</v>
      </c>
      <c r="F69" s="19"/>
      <c r="G69" s="23"/>
    </row>
    <row r="70" spans="2:8">
      <c r="B70" s="73"/>
      <c r="C70" s="74"/>
      <c r="D70" s="75" t="s">
        <v>231</v>
      </c>
      <c r="E70" s="76">
        <f>SUM(E67:E69)</f>
        <v>2272</v>
      </c>
      <c r="F70" s="77" t="s">
        <v>229</v>
      </c>
      <c r="G70" s="23"/>
    </row>
    <row r="71" spans="2:8">
      <c r="B71" s="78"/>
      <c r="C71" s="79"/>
      <c r="D71" s="74"/>
      <c r="E71" s="80"/>
      <c r="F71" s="80"/>
      <c r="G71" s="23"/>
    </row>
    <row r="72" spans="2:8" hidden="1">
      <c r="B72" s="81" t="s">
        <v>232</v>
      </c>
      <c r="C72" s="768" t="s">
        <v>233</v>
      </c>
      <c r="D72" s="769"/>
      <c r="E72" s="83">
        <v>0</v>
      </c>
      <c r="F72" s="245"/>
      <c r="G72" s="23"/>
    </row>
    <row r="73" spans="2:8" hidden="1">
      <c r="B73" s="81"/>
      <c r="C73" s="768" t="s">
        <v>234</v>
      </c>
      <c r="D73" s="769"/>
      <c r="E73" s="83">
        <v>0</v>
      </c>
      <c r="F73" s="245"/>
      <c r="G73" s="23"/>
    </row>
    <row r="74" spans="2:8" hidden="1">
      <c r="B74" s="81"/>
      <c r="C74" s="82" t="s">
        <v>223</v>
      </c>
      <c r="D74" s="83" t="s">
        <v>224</v>
      </c>
      <c r="E74" s="83" t="s">
        <v>225</v>
      </c>
      <c r="F74" s="19"/>
      <c r="G74" s="23"/>
      <c r="H74" s="226"/>
    </row>
    <row r="75" spans="2:8" hidden="1">
      <c r="B75" s="69" t="s">
        <v>56</v>
      </c>
      <c r="C75" s="70">
        <f>E49</f>
        <v>1</v>
      </c>
      <c r="D75" s="71">
        <f>(('DADOS DE ENTRADA'!B23+D67)/'DADOS DE ENTRADA'!B9)*'DADOS DE ENTRADA'!B30*E72</f>
        <v>0</v>
      </c>
      <c r="E75" s="72">
        <f>ROUND(+D75*C75,2)</f>
        <v>0</v>
      </c>
      <c r="F75" s="245"/>
      <c r="G75" s="23"/>
      <c r="H75" s="226"/>
    </row>
    <row r="76" spans="2:8" hidden="1">
      <c r="B76" s="69" t="s">
        <v>226</v>
      </c>
      <c r="C76" s="70">
        <f>E50</f>
        <v>3</v>
      </c>
      <c r="D76" s="71">
        <f>(('DADOS DE ENTRADA'!B14+D68)/'DADOS DE ENTRADA'!B9)*'DADOS DE ENTRADA'!B30*E73</f>
        <v>0</v>
      </c>
      <c r="E76" s="72">
        <f>+D76*C76</f>
        <v>0</v>
      </c>
      <c r="F76" s="19"/>
      <c r="G76" s="23"/>
    </row>
    <row r="77" spans="2:8" hidden="1">
      <c r="B77" s="69" t="s">
        <v>227</v>
      </c>
      <c r="C77" s="70">
        <v>2</v>
      </c>
      <c r="D77" s="71">
        <f>(('DADOS DE ENTRADA'!B21+D69)/'DADOS DE ENTRADA'!B9)*'DADOS DE ENTRADA'!B30*E73</f>
        <v>0</v>
      </c>
      <c r="E77" s="72">
        <f>D77*C77</f>
        <v>0</v>
      </c>
      <c r="F77" s="19"/>
      <c r="G77" s="23"/>
    </row>
    <row r="78" spans="2:8" hidden="1">
      <c r="B78" s="73"/>
      <c r="C78" s="74"/>
      <c r="D78" s="75" t="s">
        <v>235</v>
      </c>
      <c r="E78" s="76">
        <f>ROUND(SUM(E75:E77),2)</f>
        <v>0</v>
      </c>
      <c r="F78" s="77" t="s">
        <v>229</v>
      </c>
      <c r="G78" s="23"/>
    </row>
    <row r="79" spans="2:8" hidden="1">
      <c r="B79" s="78"/>
      <c r="C79" s="84"/>
      <c r="D79" s="74"/>
      <c r="E79" s="80"/>
      <c r="F79" s="85"/>
      <c r="G79" s="23"/>
    </row>
    <row r="80" spans="2:8" hidden="1">
      <c r="B80" s="81" t="s">
        <v>236</v>
      </c>
      <c r="C80" s="768" t="s">
        <v>237</v>
      </c>
      <c r="D80" s="769"/>
      <c r="E80" s="83">
        <v>0</v>
      </c>
      <c r="F80" s="245"/>
      <c r="G80" s="23"/>
    </row>
    <row r="81" spans="2:7" hidden="1">
      <c r="B81" s="246" t="s">
        <v>238</v>
      </c>
      <c r="C81" s="768" t="s">
        <v>234</v>
      </c>
      <c r="D81" s="769"/>
      <c r="E81" s="83">
        <v>0</v>
      </c>
      <c r="F81" s="245"/>
      <c r="G81" s="23"/>
    </row>
    <row r="82" spans="2:7" hidden="1">
      <c r="B82" s="246"/>
      <c r="C82" s="82" t="s">
        <v>223</v>
      </c>
      <c r="D82" s="83" t="s">
        <v>224</v>
      </c>
      <c r="E82" s="83" t="s">
        <v>225</v>
      </c>
      <c r="F82" s="19"/>
      <c r="G82" s="23"/>
    </row>
    <row r="83" spans="2:7" hidden="1">
      <c r="B83" s="69" t="s">
        <v>56</v>
      </c>
      <c r="C83" s="70">
        <f>E49</f>
        <v>1</v>
      </c>
      <c r="D83" s="71">
        <f>(('DADOS DE ENTRADA'!B23+D67)/'DADOS DE ENTRADA'!B9)*'DADOS DE ENTRADA'!B31*E80</f>
        <v>0</v>
      </c>
      <c r="E83" s="72">
        <f>ROUND(+D83*C83,2)</f>
        <v>0</v>
      </c>
      <c r="F83" s="245"/>
      <c r="G83" s="23"/>
    </row>
    <row r="84" spans="2:7" hidden="1">
      <c r="B84" s="69" t="s">
        <v>226</v>
      </c>
      <c r="C84" s="70">
        <f>E50</f>
        <v>3</v>
      </c>
      <c r="D84" s="71">
        <f>(('DADOS DE ENTRADA'!B14+D68)/'DADOS DE ENTRADA'!B9)*'DADOS DE ENTRADA'!B31*E81</f>
        <v>0</v>
      </c>
      <c r="E84" s="72">
        <f>+D84*C84</f>
        <v>0</v>
      </c>
      <c r="F84" s="19"/>
      <c r="G84" s="23"/>
    </row>
    <row r="85" spans="2:7" hidden="1">
      <c r="B85" s="69" t="s">
        <v>227</v>
      </c>
      <c r="C85" s="70">
        <v>0</v>
      </c>
      <c r="D85" s="71">
        <f>(('DADOS DE ENTRADA'!B21+D69)/'DADOS DE ENTRADA'!B9)*'DADOS DE ENTRADA'!B31*E81</f>
        <v>0</v>
      </c>
      <c r="E85" s="72">
        <f>D85*C85</f>
        <v>0</v>
      </c>
      <c r="F85" s="19"/>
      <c r="G85" s="23"/>
    </row>
    <row r="86" spans="2:7" hidden="1">
      <c r="B86" s="73"/>
      <c r="C86" s="74"/>
      <c r="D86" s="75" t="s">
        <v>239</v>
      </c>
      <c r="E86" s="76">
        <f>ROUND(SUM(E83:E85),2)</f>
        <v>0</v>
      </c>
      <c r="F86" s="77" t="s">
        <v>229</v>
      </c>
      <c r="G86" s="23"/>
    </row>
    <row r="87" spans="2:7" hidden="1">
      <c r="B87" s="78"/>
      <c r="C87" s="84"/>
      <c r="D87" s="74"/>
      <c r="E87" s="80"/>
      <c r="F87" s="85"/>
      <c r="G87" s="23"/>
    </row>
    <row r="88" spans="2:7" hidden="1">
      <c r="B88" s="81" t="s">
        <v>240</v>
      </c>
      <c r="C88" s="768" t="s">
        <v>237</v>
      </c>
      <c r="D88" s="769"/>
      <c r="E88" s="83">
        <f>4.33*7.83</f>
        <v>33.9039</v>
      </c>
      <c r="F88" s="245"/>
      <c r="G88" s="23"/>
    </row>
    <row r="89" spans="2:7" hidden="1">
      <c r="B89" s="246" t="s">
        <v>241</v>
      </c>
      <c r="C89" s="768" t="s">
        <v>234</v>
      </c>
      <c r="D89" s="769"/>
      <c r="E89" s="83">
        <f>4.33*7.33</f>
        <v>31.738900000000001</v>
      </c>
      <c r="F89" s="245"/>
      <c r="G89" s="23"/>
    </row>
    <row r="90" spans="2:7" hidden="1">
      <c r="B90" s="246"/>
      <c r="C90" s="82" t="s">
        <v>223</v>
      </c>
      <c r="D90" s="83" t="s">
        <v>224</v>
      </c>
      <c r="E90" s="83" t="s">
        <v>225</v>
      </c>
      <c r="F90" s="19"/>
      <c r="G90" s="23"/>
    </row>
    <row r="91" spans="2:7" hidden="1">
      <c r="B91" s="69" t="s">
        <v>56</v>
      </c>
      <c r="C91" s="70">
        <v>0</v>
      </c>
      <c r="D91" s="71">
        <f>(('DADOS DE ENTRADA'!B23+D67)/'DADOS DE ENTRADA'!B9)*'DADOS DE ENTRADA'!B31*E88</f>
        <v>948.41536990909083</v>
      </c>
      <c r="E91" s="72">
        <f>ROUND(+D91*C91,2)</f>
        <v>0</v>
      </c>
      <c r="F91" s="245"/>
      <c r="G91" s="23"/>
    </row>
    <row r="92" spans="2:7" hidden="1">
      <c r="B92" s="69" t="s">
        <v>226</v>
      </c>
      <c r="C92" s="70">
        <v>0</v>
      </c>
      <c r="D92" s="71">
        <f>(('DADOS DE ENTRADA'!B14+D68)/'DADOS DE ENTRADA'!B9)*'DADOS DE ENTRADA'!B31*E89</f>
        <v>516.36882016363631</v>
      </c>
      <c r="E92" s="72">
        <f>+D92*C92</f>
        <v>0</v>
      </c>
      <c r="F92" s="19"/>
      <c r="G92" s="23"/>
    </row>
    <row r="93" spans="2:7" hidden="1">
      <c r="B93" s="69" t="s">
        <v>227</v>
      </c>
      <c r="C93" s="70">
        <v>0</v>
      </c>
      <c r="D93" s="71">
        <f>(('DADOS DE ENTRADA'!B21+D69)/'DADOS DE ENTRADA'!B9)*'DADOS DE ENTRADA'!B31*E89</f>
        <v>457.41525609090917</v>
      </c>
      <c r="E93" s="72">
        <f>D93*C93</f>
        <v>0</v>
      </c>
      <c r="F93" s="19"/>
      <c r="G93" s="23"/>
    </row>
    <row r="94" spans="2:7" hidden="1">
      <c r="B94" s="73"/>
      <c r="C94" s="74"/>
      <c r="D94" s="75" t="s">
        <v>242</v>
      </c>
      <c r="E94" s="76">
        <f>ROUND(SUM(E91:E93),2)</f>
        <v>0</v>
      </c>
      <c r="F94" s="77" t="s">
        <v>229</v>
      </c>
      <c r="G94" s="23"/>
    </row>
    <row r="95" spans="2:7" hidden="1">
      <c r="B95" s="78"/>
      <c r="C95" s="84"/>
      <c r="D95" s="74"/>
      <c r="E95" s="80"/>
      <c r="F95" s="85"/>
      <c r="G95" s="23"/>
    </row>
    <row r="96" spans="2:7" hidden="1">
      <c r="B96" s="81" t="s">
        <v>243</v>
      </c>
      <c r="C96" s="768" t="s">
        <v>244</v>
      </c>
      <c r="D96" s="769"/>
      <c r="E96" s="83">
        <f>4.33+1.08</f>
        <v>5.41</v>
      </c>
      <c r="F96" s="85"/>
      <c r="G96" s="23"/>
    </row>
    <row r="97" spans="1:7" hidden="1">
      <c r="B97" s="81"/>
      <c r="C97" s="768" t="s">
        <v>5</v>
      </c>
      <c r="D97" s="769"/>
      <c r="E97" s="83">
        <f>'DADOS DE ENTRADA'!B5</f>
        <v>26.09</v>
      </c>
      <c r="F97" s="85"/>
      <c r="G97" s="23"/>
    </row>
    <row r="98" spans="1:7" hidden="1">
      <c r="B98" s="81"/>
      <c r="C98" s="82" t="s">
        <v>223</v>
      </c>
      <c r="D98" s="83" t="s">
        <v>224</v>
      </c>
      <c r="E98" s="83" t="s">
        <v>225</v>
      </c>
      <c r="F98" s="85"/>
      <c r="G98" s="23"/>
    </row>
    <row r="99" spans="1:7" hidden="1">
      <c r="B99" s="69" t="s">
        <v>56</v>
      </c>
      <c r="C99" s="70">
        <v>0</v>
      </c>
      <c r="D99" s="71">
        <f>((D75+D83+D91)/$E$97)*$E$96</f>
        <v>196.66259682668385</v>
      </c>
      <c r="E99" s="72">
        <f>ROUND(+D99*C99,2)</f>
        <v>0</v>
      </c>
      <c r="F99" s="85"/>
      <c r="G99" s="23"/>
    </row>
    <row r="100" spans="1:7" hidden="1">
      <c r="B100" s="69" t="s">
        <v>226</v>
      </c>
      <c r="C100" s="70">
        <v>0</v>
      </c>
      <c r="D100" s="71">
        <f>((D76+D84+D92)/$E$97)*$E$96</f>
        <v>107.0737952121607</v>
      </c>
      <c r="E100" s="72">
        <f>+D100*C100</f>
        <v>0</v>
      </c>
      <c r="F100" s="85"/>
      <c r="G100" s="23"/>
    </row>
    <row r="101" spans="1:7" hidden="1">
      <c r="B101" s="69" t="s">
        <v>227</v>
      </c>
      <c r="C101" s="70">
        <v>0</v>
      </c>
      <c r="D101" s="71">
        <f>((D77+D85+D93)/$E$97)*$E$96</f>
        <v>94.8492347815952</v>
      </c>
      <c r="E101" s="72">
        <f>D101*C101</f>
        <v>0</v>
      </c>
      <c r="F101" s="85"/>
      <c r="G101" s="23"/>
    </row>
    <row r="102" spans="1:7" hidden="1">
      <c r="B102" s="73"/>
      <c r="C102" s="74"/>
      <c r="D102" s="75" t="s">
        <v>245</v>
      </c>
      <c r="E102" s="76">
        <f>ROUND(SUM(E99:E101),2)</f>
        <v>0</v>
      </c>
      <c r="F102" s="85"/>
      <c r="G102" s="23"/>
    </row>
    <row r="103" spans="1:7">
      <c r="B103" s="78"/>
      <c r="C103" s="84"/>
      <c r="D103" s="74"/>
      <c r="E103" s="80"/>
      <c r="F103" s="85"/>
      <c r="G103" s="23"/>
    </row>
    <row r="104" spans="1:7">
      <c r="B104" s="86"/>
      <c r="C104" s="19"/>
      <c r="D104" s="344" t="s">
        <v>246</v>
      </c>
      <c r="E104" s="76">
        <f>ROUND(E70+E64+E78+E86+E94+E102,2)</f>
        <v>9372.89</v>
      </c>
      <c r="F104" s="77" t="s">
        <v>229</v>
      </c>
      <c r="G104" s="23"/>
    </row>
    <row r="105" spans="1:7">
      <c r="B105" s="78"/>
      <c r="C105" s="19"/>
      <c r="D105" s="19"/>
      <c r="E105" s="80"/>
      <c r="F105" s="80"/>
      <c r="G105" s="23"/>
    </row>
    <row r="106" spans="1:7">
      <c r="B106" s="345" t="s">
        <v>247</v>
      </c>
      <c r="C106" s="82" t="s">
        <v>223</v>
      </c>
      <c r="D106" s="83" t="s">
        <v>224</v>
      </c>
      <c r="E106" s="83" t="s">
        <v>225</v>
      </c>
      <c r="F106" s="19"/>
      <c r="G106" s="23"/>
    </row>
    <row r="107" spans="1:7">
      <c r="B107" s="346" t="s">
        <v>248</v>
      </c>
      <c r="C107" s="88">
        <v>0.95</v>
      </c>
      <c r="D107" s="89">
        <f>E104*C107</f>
        <v>8904.2454999999991</v>
      </c>
      <c r="E107" s="72">
        <f>ROUND(+D107,2)</f>
        <v>8904.25</v>
      </c>
      <c r="F107" s="19"/>
      <c r="G107" s="23"/>
    </row>
    <row r="108" spans="1:7">
      <c r="B108" s="73"/>
      <c r="C108" s="79"/>
      <c r="D108" s="75" t="s">
        <v>249</v>
      </c>
      <c r="E108" s="76">
        <f>ROUND(SUM(E107),2)</f>
        <v>8904.25</v>
      </c>
      <c r="F108" s="77" t="s">
        <v>229</v>
      </c>
      <c r="G108" s="23"/>
    </row>
    <row r="109" spans="1:7">
      <c r="B109" s="78"/>
      <c r="C109" s="19"/>
      <c r="D109" s="19"/>
      <c r="E109" s="80"/>
      <c r="F109" s="80"/>
      <c r="G109" s="23"/>
    </row>
    <row r="110" spans="1:7">
      <c r="B110" s="86"/>
      <c r="C110" s="19"/>
      <c r="D110" s="344" t="s">
        <v>250</v>
      </c>
      <c r="E110" s="76">
        <f>ROUND(+E108+E104,2)</f>
        <v>18277.14</v>
      </c>
      <c r="F110" s="77" t="s">
        <v>229</v>
      </c>
      <c r="G110" s="23"/>
    </row>
    <row r="111" spans="1:7">
      <c r="B111" s="86"/>
      <c r="C111" s="19"/>
      <c r="D111" s="19"/>
      <c r="E111" s="85"/>
      <c r="F111" s="19"/>
      <c r="G111" s="23"/>
    </row>
    <row r="112" spans="1:7">
      <c r="A112" s="91"/>
      <c r="B112" s="345" t="s">
        <v>549</v>
      </c>
      <c r="C112" s="768"/>
      <c r="D112" s="769"/>
      <c r="E112" s="83"/>
      <c r="F112" s="19"/>
      <c r="G112" s="92"/>
    </row>
    <row r="113" spans="1:7">
      <c r="A113" s="91"/>
      <c r="B113" s="86"/>
      <c r="C113" s="82" t="s">
        <v>223</v>
      </c>
      <c r="D113" s="83" t="s">
        <v>224</v>
      </c>
      <c r="E113" s="83" t="s">
        <v>225</v>
      </c>
      <c r="F113" s="19"/>
      <c r="G113" s="92"/>
    </row>
    <row r="114" spans="1:7">
      <c r="B114" s="69" t="s">
        <v>56</v>
      </c>
      <c r="C114" s="70">
        <f>C67</f>
        <v>1</v>
      </c>
      <c r="D114" s="71">
        <f>4.95*52-0.006*H62</f>
        <v>238.99200000000002</v>
      </c>
      <c r="E114" s="72">
        <f>+D114*C114</f>
        <v>238.99200000000002</v>
      </c>
      <c r="F114" s="19"/>
      <c r="G114" s="92"/>
    </row>
    <row r="115" spans="1:7">
      <c r="B115" s="69" t="s">
        <v>519</v>
      </c>
      <c r="C115" s="70">
        <f>C68</f>
        <v>3</v>
      </c>
      <c r="D115" s="71">
        <f>4.95*52-0.006*H64</f>
        <v>244.79022000000003</v>
      </c>
      <c r="E115" s="72">
        <f>+D115*C115</f>
        <v>734.37066000000004</v>
      </c>
      <c r="F115" s="19"/>
      <c r="G115" s="92"/>
    </row>
    <row r="116" spans="1:7" hidden="1">
      <c r="B116" s="69" t="s">
        <v>227</v>
      </c>
      <c r="C116" s="70">
        <v>0</v>
      </c>
      <c r="D116" s="71">
        <f>IF((('DADOS DE ENTRADA'!B5*'DADOS DE ENTRADA'!B36*E112)-(6%*'DADOS DE ENTRADA'!B21))&lt;0,0,('DADOS DE ENTRADA'!B5*'DADOS DE ENTRADA'!B36*E112)-(6%*'DADOS DE ENTRADA'!B21))</f>
        <v>0</v>
      </c>
      <c r="E116" s="72">
        <f>D116*C116</f>
        <v>0</v>
      </c>
      <c r="F116" s="19"/>
      <c r="G116" s="92"/>
    </row>
    <row r="117" spans="1:7" ht="12" customHeight="1">
      <c r="A117" s="34"/>
      <c r="B117" s="73"/>
      <c r="C117" s="74"/>
      <c r="D117" s="75" t="s">
        <v>251</v>
      </c>
      <c r="E117" s="76">
        <f>SUM(E114:E116)</f>
        <v>973.36266000000001</v>
      </c>
      <c r="F117" s="77" t="s">
        <v>229</v>
      </c>
      <c r="G117" s="92"/>
    </row>
    <row r="118" spans="1:7">
      <c r="B118" s="78"/>
      <c r="C118" s="79"/>
      <c r="D118" s="74"/>
      <c r="E118" s="74"/>
      <c r="F118" s="93"/>
      <c r="G118" s="23"/>
    </row>
    <row r="119" spans="1:7">
      <c r="B119" s="345" t="s">
        <v>479</v>
      </c>
      <c r="C119" s="82" t="s">
        <v>223</v>
      </c>
      <c r="D119" s="82" t="s">
        <v>224</v>
      </c>
      <c r="E119" s="94" t="s">
        <v>225</v>
      </c>
      <c r="F119" s="19"/>
      <c r="G119" s="92"/>
    </row>
    <row r="120" spans="1:7">
      <c r="B120" s="69" t="s">
        <v>56</v>
      </c>
      <c r="C120" s="70">
        <f>E49</f>
        <v>1</v>
      </c>
      <c r="D120" s="71">
        <f>'01-Coleta domiciliar'!D215</f>
        <v>904.68</v>
      </c>
      <c r="E120" s="72">
        <f>ROUND(+D120*C120,2)</f>
        <v>904.68</v>
      </c>
      <c r="F120" s="19"/>
      <c r="G120" s="92"/>
    </row>
    <row r="121" spans="1:7">
      <c r="B121" s="358" t="s">
        <v>519</v>
      </c>
      <c r="C121" s="70">
        <f>E50</f>
        <v>3</v>
      </c>
      <c r="D121" s="71">
        <f>D120</f>
        <v>904.68</v>
      </c>
      <c r="E121" s="72">
        <f>ROUND(+D121*C121,2)</f>
        <v>2714.04</v>
      </c>
      <c r="F121" s="19"/>
      <c r="G121" s="92"/>
    </row>
    <row r="122" spans="1:7" hidden="1">
      <c r="B122" s="69" t="s">
        <v>227</v>
      </c>
      <c r="C122" s="70">
        <v>0</v>
      </c>
      <c r="D122" s="71">
        <v>840</v>
      </c>
      <c r="E122" s="72">
        <f>D122*C122</f>
        <v>0</v>
      </c>
      <c r="F122" s="19"/>
      <c r="G122" s="92"/>
    </row>
    <row r="123" spans="1:7">
      <c r="B123" s="73"/>
      <c r="C123" s="74"/>
      <c r="D123" s="75" t="s">
        <v>252</v>
      </c>
      <c r="E123" s="76">
        <f>SUM(E120:E122)</f>
        <v>3618.72</v>
      </c>
      <c r="F123" s="77" t="s">
        <v>229</v>
      </c>
      <c r="G123" s="92"/>
    </row>
    <row r="124" spans="1:7">
      <c r="B124" s="78"/>
      <c r="C124" s="79"/>
      <c r="D124" s="74"/>
      <c r="E124" s="74"/>
      <c r="F124" s="93"/>
      <c r="G124" s="23"/>
    </row>
    <row r="125" spans="1:7">
      <c r="B125" s="345" t="s">
        <v>718</v>
      </c>
      <c r="C125" s="82" t="s">
        <v>223</v>
      </c>
      <c r="D125" s="82" t="s">
        <v>224</v>
      </c>
      <c r="E125" s="94" t="s">
        <v>225</v>
      </c>
      <c r="F125" s="19"/>
      <c r="G125" s="92"/>
    </row>
    <row r="126" spans="1:7">
      <c r="B126" s="69" t="s">
        <v>56</v>
      </c>
      <c r="C126" s="70">
        <f>E49</f>
        <v>1</v>
      </c>
      <c r="D126" s="71">
        <f>'01-Coleta domiciliar'!D135</f>
        <v>50.24</v>
      </c>
      <c r="E126" s="72">
        <f>+D126*C126</f>
        <v>50.24</v>
      </c>
      <c r="F126" s="19"/>
      <c r="G126" s="92"/>
    </row>
    <row r="127" spans="1:7">
      <c r="B127" s="69" t="s">
        <v>519</v>
      </c>
      <c r="C127" s="70">
        <f>E50</f>
        <v>3</v>
      </c>
      <c r="D127" s="71">
        <f>'01-Coleta domiciliar'!D136</f>
        <v>50.24</v>
      </c>
      <c r="E127" s="72">
        <f>+D127*C127</f>
        <v>150.72</v>
      </c>
      <c r="F127" s="19"/>
      <c r="G127" s="92"/>
    </row>
    <row r="128" spans="1:7" hidden="1">
      <c r="B128" s="69" t="s">
        <v>227</v>
      </c>
      <c r="C128" s="70">
        <v>0</v>
      </c>
      <c r="D128" s="71">
        <f>'DADOS DE ENTRADA'!B32</f>
        <v>0</v>
      </c>
      <c r="E128" s="72">
        <f>D128*C128</f>
        <v>0</v>
      </c>
      <c r="F128" s="19"/>
      <c r="G128" s="92"/>
    </row>
    <row r="129" spans="1:7">
      <c r="B129" s="73"/>
      <c r="C129" s="74"/>
      <c r="D129" s="75" t="s">
        <v>253</v>
      </c>
      <c r="E129" s="76">
        <f>SUM(E126:E128)</f>
        <v>200.96</v>
      </c>
      <c r="F129" s="77" t="s">
        <v>229</v>
      </c>
      <c r="G129" s="92"/>
    </row>
    <row r="130" spans="1:7">
      <c r="B130" s="78"/>
      <c r="C130" s="79"/>
      <c r="D130" s="74"/>
      <c r="E130" s="74"/>
      <c r="F130" s="93"/>
      <c r="G130" s="23"/>
    </row>
    <row r="131" spans="1:7">
      <c r="B131" s="95"/>
      <c r="C131" s="79"/>
      <c r="D131" s="359" t="s">
        <v>521</v>
      </c>
      <c r="E131" s="76">
        <f>+E123+E129+E117</f>
        <v>4793.0426600000001</v>
      </c>
      <c r="F131" s="77" t="s">
        <v>229</v>
      </c>
      <c r="G131" s="92"/>
    </row>
    <row r="132" spans="1:7">
      <c r="A132" s="34"/>
      <c r="B132" s="78"/>
      <c r="C132" s="79"/>
      <c r="D132" s="74"/>
      <c r="E132" s="74"/>
      <c r="F132" s="85"/>
      <c r="G132" s="23"/>
    </row>
    <row r="133" spans="1:7">
      <c r="A133" s="34"/>
      <c r="B133" s="95"/>
      <c r="C133" s="79"/>
      <c r="D133" s="84" t="s">
        <v>523</v>
      </c>
      <c r="E133" s="76">
        <f>E110+E131</f>
        <v>23070.182659999999</v>
      </c>
      <c r="F133" s="77" t="s">
        <v>229</v>
      </c>
      <c r="G133" s="92"/>
    </row>
    <row r="134" spans="1:7" ht="12" thickBot="1">
      <c r="A134" s="34"/>
      <c r="B134" s="96"/>
      <c r="C134" s="97"/>
      <c r="D134" s="98"/>
      <c r="E134" s="98"/>
      <c r="F134" s="99"/>
      <c r="G134" s="29"/>
    </row>
    <row r="135" spans="1:7" ht="12" thickBot="1">
      <c r="A135" s="34"/>
      <c r="B135" s="34"/>
      <c r="C135" s="63"/>
      <c r="D135" s="40"/>
      <c r="E135" s="40"/>
      <c r="F135" s="2"/>
    </row>
    <row r="136" spans="1:7" ht="12" customHeight="1" thickBot="1">
      <c r="A136" s="34"/>
      <c r="B136" s="385"/>
      <c r="C136" s="386"/>
      <c r="D136" s="387"/>
      <c r="E136" s="387"/>
      <c r="F136" s="388"/>
      <c r="G136" s="14"/>
    </row>
    <row r="137" spans="1:7" ht="12" customHeight="1">
      <c r="B137" s="86"/>
      <c r="C137" s="128"/>
      <c r="D137" s="129"/>
      <c r="E137" s="129"/>
      <c r="F137" s="130"/>
      <c r="G137" s="23"/>
    </row>
    <row r="138" spans="1:7" ht="12" customHeight="1">
      <c r="B138" s="86"/>
      <c r="C138" s="347" t="s">
        <v>270</v>
      </c>
      <c r="D138" s="132"/>
      <c r="E138" s="76">
        <f>E133</f>
        <v>23070.182659999999</v>
      </c>
      <c r="F138" s="133" t="s">
        <v>229</v>
      </c>
      <c r="G138" s="92"/>
    </row>
    <row r="139" spans="1:7" ht="12" customHeight="1">
      <c r="B139" s="86"/>
      <c r="C139" s="134" t="s">
        <v>271</v>
      </c>
      <c r="D139" s="132"/>
      <c r="E139" s="132"/>
      <c r="F139" s="135"/>
      <c r="G139" s="23"/>
    </row>
    <row r="140" spans="1:7" ht="12" customHeight="1">
      <c r="B140" s="86"/>
      <c r="C140" s="347" t="s">
        <v>272</v>
      </c>
      <c r="D140" s="132"/>
      <c r="E140" s="76">
        <f>+E138*E8</f>
        <v>276842.19192000001</v>
      </c>
      <c r="F140" s="133" t="s">
        <v>229</v>
      </c>
      <c r="G140" s="23"/>
    </row>
    <row r="141" spans="1:7" ht="12" customHeight="1" thickBot="1">
      <c r="B141" s="86"/>
      <c r="C141" s="136" t="s">
        <v>271</v>
      </c>
      <c r="D141" s="137"/>
      <c r="E141" s="137"/>
      <c r="F141" s="138"/>
      <c r="G141" s="92"/>
    </row>
    <row r="142" spans="1:7" ht="12" customHeight="1" thickBot="1">
      <c r="B142" s="139"/>
      <c r="C142" s="48"/>
      <c r="D142" s="48"/>
      <c r="E142" s="48"/>
      <c r="F142" s="99"/>
      <c r="G142" s="215"/>
    </row>
    <row r="143" spans="1:7">
      <c r="B143" s="3"/>
      <c r="F143" s="100"/>
    </row>
    <row r="144" spans="1:7" ht="13.8">
      <c r="A144" s="757" t="s">
        <v>273</v>
      </c>
      <c r="B144" s="758"/>
      <c r="C144" s="758"/>
      <c r="D144" s="758"/>
      <c r="E144" s="758"/>
      <c r="F144" s="758"/>
      <c r="G144" s="758"/>
    </row>
    <row r="145" spans="2:7" ht="11.25" customHeight="1" thickBot="1">
      <c r="B145" s="3"/>
      <c r="F145" s="100"/>
    </row>
    <row r="146" spans="2:7">
      <c r="B146" s="66" t="s">
        <v>274</v>
      </c>
      <c r="C146" s="13"/>
      <c r="D146" s="101"/>
      <c r="E146" s="101"/>
      <c r="F146" s="101"/>
      <c r="G146" s="14"/>
    </row>
    <row r="147" spans="2:7">
      <c r="B147" s="87"/>
      <c r="C147" s="764" t="s">
        <v>491</v>
      </c>
      <c r="D147" s="770"/>
      <c r="E147" s="770"/>
      <c r="F147" s="765"/>
      <c r="G147" s="23"/>
    </row>
    <row r="148" spans="2:7">
      <c r="B148" s="78"/>
      <c r="C148" s="103" t="s">
        <v>275</v>
      </c>
      <c r="D148" s="104" t="s">
        <v>276</v>
      </c>
      <c r="E148" s="104" t="s">
        <v>224</v>
      </c>
      <c r="F148" s="104" t="s">
        <v>277</v>
      </c>
      <c r="G148" s="105"/>
    </row>
    <row r="149" spans="2:7" ht="13.5" customHeight="1">
      <c r="B149" s="78"/>
      <c r="C149" s="250" t="str">
        <f>'DADOS DE ENTRADA'!$D$26</f>
        <v>Calça comprida de brim</v>
      </c>
      <c r="D149" s="108">
        <v>2</v>
      </c>
      <c r="E149" s="250">
        <v>53</v>
      </c>
      <c r="F149" s="251">
        <f>(D149*E149)/12</f>
        <v>8.8333333333333339</v>
      </c>
      <c r="G149" s="110"/>
    </row>
    <row r="150" spans="2:7" ht="13.5" customHeight="1">
      <c r="B150" s="78"/>
      <c r="C150" s="250" t="str">
        <f>'DADOS DE ENTRADA'!$D$30</f>
        <v>Capa de chuva em PVC</v>
      </c>
      <c r="D150" s="108">
        <v>2</v>
      </c>
      <c r="E150" s="250">
        <v>20.49</v>
      </c>
      <c r="F150" s="251">
        <f>(D150*E150)/12</f>
        <v>3.4149999999999996</v>
      </c>
      <c r="G150" s="110"/>
    </row>
    <row r="151" spans="2:7" ht="13.5" customHeight="1">
      <c r="B151" s="95"/>
      <c r="C151" s="250" t="str">
        <f>'DADOS DE ENTRADA'!$D$28</f>
        <v>Camisa de brim com manga</v>
      </c>
      <c r="D151" s="108">
        <v>2</v>
      </c>
      <c r="E151" s="250">
        <v>63</v>
      </c>
      <c r="F151" s="251">
        <f>(D151*E151)/12</f>
        <v>10.5</v>
      </c>
      <c r="G151" s="110"/>
    </row>
    <row r="152" spans="2:7" ht="13.5" customHeight="1">
      <c r="B152" s="78"/>
      <c r="C152" s="250" t="str">
        <f>'DADOS DE ENTRADA'!$D$29</f>
        <v>Calçados tipo "Vulcabras"</v>
      </c>
      <c r="D152" s="108">
        <v>2</v>
      </c>
      <c r="E152" s="250">
        <v>54.8</v>
      </c>
      <c r="F152" s="251">
        <f>(D152*E152)/12</f>
        <v>9.1333333333333329</v>
      </c>
      <c r="G152" s="110"/>
    </row>
    <row r="153" spans="2:7" ht="13.5" customHeight="1">
      <c r="B153" s="78"/>
      <c r="C153" s="19"/>
      <c r="D153" s="84"/>
      <c r="E153" s="344" t="s">
        <v>278</v>
      </c>
      <c r="F153" s="76">
        <f>SUM(F149:F152)</f>
        <v>31.881666666666668</v>
      </c>
      <c r="G153" s="112"/>
    </row>
    <row r="154" spans="2:7" ht="13.5" customHeight="1">
      <c r="B154" s="78"/>
      <c r="C154" s="19"/>
      <c r="D154" s="19"/>
      <c r="E154" s="19"/>
      <c r="F154" s="19"/>
      <c r="G154" s="114"/>
    </row>
    <row r="155" spans="2:7" ht="13.5" customHeight="1">
      <c r="B155" s="78"/>
      <c r="C155" s="771" t="s">
        <v>279</v>
      </c>
      <c r="D155" s="771"/>
      <c r="E155" s="771"/>
      <c r="F155" s="771"/>
      <c r="G155" s="114"/>
    </row>
    <row r="156" spans="2:7" ht="13.5" customHeight="1">
      <c r="B156" s="87"/>
      <c r="C156" s="104" t="s">
        <v>275</v>
      </c>
      <c r="D156" s="104" t="s">
        <v>276</v>
      </c>
      <c r="E156" s="104" t="s">
        <v>224</v>
      </c>
      <c r="F156" s="104" t="s">
        <v>277</v>
      </c>
      <c r="G156" s="105"/>
    </row>
    <row r="157" spans="2:7" ht="13.5" customHeight="1">
      <c r="B157" s="95"/>
      <c r="C157" s="107" t="str">
        <f>'DADOS DE ENTRADA'!$D$25</f>
        <v>Boné tipo "Jóckey"</v>
      </c>
      <c r="D157" s="108">
        <v>3</v>
      </c>
      <c r="E157" s="250">
        <v>22</v>
      </c>
      <c r="F157" s="109">
        <f t="shared" ref="F157:F166" si="0">(D157*E157)/12</f>
        <v>5.5</v>
      </c>
      <c r="G157" s="229"/>
    </row>
    <row r="158" spans="2:7" ht="13.5" customHeight="1">
      <c r="B158" s="95"/>
      <c r="C158" s="107" t="str">
        <f>'DADOS DE ENTRADA'!$D$26</f>
        <v>Calça comprida de brim</v>
      </c>
      <c r="D158" s="108">
        <v>3</v>
      </c>
      <c r="E158" s="250">
        <f>E149</f>
        <v>53</v>
      </c>
      <c r="F158" s="109">
        <f t="shared" si="0"/>
        <v>13.25</v>
      </c>
      <c r="G158" s="229"/>
    </row>
    <row r="159" spans="2:7" ht="13.5" customHeight="1">
      <c r="B159" s="78"/>
      <c r="C159" s="107" t="str">
        <f>'DADOS DE ENTRADA'!$D$29</f>
        <v>Calçados tipo "Vulcabras"</v>
      </c>
      <c r="D159" s="108">
        <v>3</v>
      </c>
      <c r="E159" s="250">
        <f>E152</f>
        <v>54.8</v>
      </c>
      <c r="F159" s="109">
        <f t="shared" si="0"/>
        <v>13.699999999999998</v>
      </c>
      <c r="G159" s="229"/>
    </row>
    <row r="160" spans="2:7" ht="13.5" customHeight="1">
      <c r="B160" s="95"/>
      <c r="C160" s="348" t="str">
        <f>'DADOS DE ENTRADA'!$D$28</f>
        <v>Camisa de brim com manga</v>
      </c>
      <c r="D160" s="108">
        <v>3</v>
      </c>
      <c r="E160" s="250">
        <f>E151</f>
        <v>63</v>
      </c>
      <c r="F160" s="109">
        <f t="shared" si="0"/>
        <v>15.75</v>
      </c>
      <c r="G160" s="229"/>
    </row>
    <row r="161" spans="2:7" ht="13.5" customHeight="1">
      <c r="B161" s="78"/>
      <c r="C161" s="107" t="str">
        <f>'DADOS DE ENTRADA'!$D$30</f>
        <v>Capa de chuva em PVC</v>
      </c>
      <c r="D161" s="108">
        <v>2</v>
      </c>
      <c r="E161" s="250">
        <f>E150</f>
        <v>20.49</v>
      </c>
      <c r="F161" s="109">
        <f t="shared" si="0"/>
        <v>3.4149999999999996</v>
      </c>
      <c r="G161" s="229"/>
    </row>
    <row r="162" spans="2:7" ht="13.5" customHeight="1">
      <c r="B162" s="95"/>
      <c r="C162" s="107" t="str">
        <f>'DADOS DE ENTRADA'!$D$31</f>
        <v>Colete sinalizador</v>
      </c>
      <c r="D162" s="108">
        <v>2</v>
      </c>
      <c r="E162" s="250">
        <v>18.899999999999999</v>
      </c>
      <c r="F162" s="109">
        <f t="shared" si="0"/>
        <v>3.15</v>
      </c>
      <c r="G162" s="229"/>
    </row>
    <row r="163" spans="2:7" ht="13.5" customHeight="1">
      <c r="B163" s="87"/>
      <c r="C163" s="348" t="str">
        <f>'DADOS DE ENTRADA'!$D$34</f>
        <v>Luva de PVC</v>
      </c>
      <c r="D163" s="108">
        <v>4</v>
      </c>
      <c r="E163" s="250">
        <v>17.5</v>
      </c>
      <c r="F163" s="109">
        <f t="shared" si="0"/>
        <v>5.833333333333333</v>
      </c>
      <c r="G163" s="229"/>
    </row>
    <row r="164" spans="2:7" ht="13.5" customHeight="1">
      <c r="B164" s="78"/>
      <c r="C164" s="107" t="str">
        <f>'DADOS DE ENTRADA'!D$40</f>
        <v>Protetor solar FPS 30</v>
      </c>
      <c r="D164" s="108">
        <v>0</v>
      </c>
      <c r="E164" s="250">
        <v>11.63</v>
      </c>
      <c r="F164" s="109">
        <f t="shared" si="0"/>
        <v>0</v>
      </c>
      <c r="G164" s="229"/>
    </row>
    <row r="165" spans="2:7" ht="13.5" hidden="1" customHeight="1">
      <c r="B165" s="78"/>
      <c r="C165" s="107" t="str">
        <f>'DADOS DE ENTRADA'!$D$37</f>
        <v>Máscara c/filtro</v>
      </c>
      <c r="D165" s="108">
        <v>0</v>
      </c>
      <c r="E165" s="250">
        <f>'DADOS DE ENTRADA'!$E$37</f>
        <v>1.6</v>
      </c>
      <c r="F165" s="109">
        <f t="shared" si="0"/>
        <v>0</v>
      </c>
      <c r="G165" s="229"/>
    </row>
    <row r="166" spans="2:7" ht="13.5" hidden="1" customHeight="1">
      <c r="B166" s="78"/>
      <c r="C166" s="107" t="str">
        <f>'DADOS DE ENTRADA'!$D$39</f>
        <v>Óculos de Proteção</v>
      </c>
      <c r="D166" s="108">
        <v>0</v>
      </c>
      <c r="E166" s="250">
        <f>'DADOS DE ENTRADA'!$E$39</f>
        <v>1.5</v>
      </c>
      <c r="F166" s="109">
        <f t="shared" si="0"/>
        <v>0</v>
      </c>
      <c r="G166" s="229"/>
    </row>
    <row r="167" spans="2:7" ht="13.5" customHeight="1">
      <c r="B167" s="95"/>
      <c r="C167" s="19"/>
      <c r="D167" s="84"/>
      <c r="E167" s="344" t="s">
        <v>280</v>
      </c>
      <c r="F167" s="76">
        <f>SUM(F157:F166)</f>
        <v>60.598333333333329</v>
      </c>
      <c r="G167" s="112"/>
    </row>
    <row r="168" spans="2:7" ht="13.5" customHeight="1">
      <c r="B168" s="78"/>
      <c r="C168" s="84"/>
      <c r="D168" s="19"/>
      <c r="E168" s="93"/>
      <c r="F168" s="116"/>
      <c r="G168" s="23"/>
    </row>
    <row r="169" spans="2:7" ht="13.5" customHeight="1">
      <c r="B169" s="95"/>
      <c r="C169" s="19"/>
      <c r="D169" s="104" t="s">
        <v>281</v>
      </c>
      <c r="E169" s="104" t="s">
        <v>282</v>
      </c>
      <c r="F169" s="104" t="s">
        <v>225</v>
      </c>
      <c r="G169" s="23"/>
    </row>
    <row r="170" spans="2:7" ht="13.5" customHeight="1">
      <c r="B170" s="78"/>
      <c r="C170" s="84" t="s">
        <v>56</v>
      </c>
      <c r="D170" s="108">
        <f>C126</f>
        <v>1</v>
      </c>
      <c r="E170" s="123">
        <f>+F153</f>
        <v>31.881666666666668</v>
      </c>
      <c r="F170" s="109">
        <f>ROUND(+E170*D170,2)</f>
        <v>31.88</v>
      </c>
      <c r="G170" s="23"/>
    </row>
    <row r="171" spans="2:7" ht="13.5" customHeight="1">
      <c r="B171" s="78"/>
      <c r="C171" s="84" t="s">
        <v>283</v>
      </c>
      <c r="D171" s="108">
        <f>C127</f>
        <v>3</v>
      </c>
      <c r="E171" s="233">
        <f>+F167-F162</f>
        <v>57.448333333333331</v>
      </c>
      <c r="F171" s="109">
        <f>ROUND(+E171*D171,2)</f>
        <v>172.35</v>
      </c>
      <c r="G171" s="23"/>
    </row>
    <row r="172" spans="2:7" ht="13.5" customHeight="1">
      <c r="B172" s="78"/>
      <c r="C172" s="19"/>
      <c r="D172" s="84"/>
      <c r="E172" s="344" t="s">
        <v>285</v>
      </c>
      <c r="F172" s="76">
        <f>SUM(F170:F171)</f>
        <v>204.23</v>
      </c>
      <c r="G172" s="112" t="s">
        <v>229</v>
      </c>
    </row>
    <row r="173" spans="2:7" ht="13.5" customHeight="1">
      <c r="B173" s="78"/>
      <c r="C173" s="19"/>
      <c r="D173" s="16"/>
      <c r="E173" s="344" t="s">
        <v>286</v>
      </c>
      <c r="F173" s="76">
        <f>E8*F172</f>
        <v>2450.7599999999998</v>
      </c>
      <c r="G173" s="112" t="s">
        <v>229</v>
      </c>
    </row>
    <row r="174" spans="2:7" ht="13.5" customHeight="1">
      <c r="B174" s="86"/>
      <c r="C174" s="19"/>
      <c r="D174" s="19"/>
      <c r="E174" s="93"/>
      <c r="F174" s="116"/>
      <c r="G174" s="23"/>
    </row>
    <row r="175" spans="2:7" ht="13.5" customHeight="1">
      <c r="B175" s="87" t="s">
        <v>287</v>
      </c>
      <c r="C175" s="19"/>
      <c r="D175" s="117"/>
      <c r="E175" s="117"/>
      <c r="F175" s="117"/>
      <c r="G175" s="23"/>
    </row>
    <row r="176" spans="2:7" ht="13.5" customHeight="1">
      <c r="B176" s="118"/>
      <c r="C176" s="119"/>
      <c r="D176" s="104" t="s">
        <v>288</v>
      </c>
      <c r="E176" s="234" t="s">
        <v>224</v>
      </c>
      <c r="F176" s="82" t="s">
        <v>277</v>
      </c>
      <c r="G176" s="23"/>
    </row>
    <row r="177" spans="2:7" ht="13.5" customHeight="1">
      <c r="B177" s="118"/>
      <c r="C177" s="119" t="s">
        <v>289</v>
      </c>
      <c r="D177" s="122">
        <v>2</v>
      </c>
      <c r="E177" s="123">
        <v>12</v>
      </c>
      <c r="F177" s="72">
        <f>(D177*E177)/12</f>
        <v>2</v>
      </c>
      <c r="G177" s="23"/>
    </row>
    <row r="178" spans="2:7" ht="13.5" customHeight="1">
      <c r="B178" s="118"/>
      <c r="C178" s="119" t="s">
        <v>29</v>
      </c>
      <c r="D178" s="122">
        <v>2</v>
      </c>
      <c r="E178" s="123">
        <v>110.5</v>
      </c>
      <c r="F178" s="72">
        <f>(D178*E178)/12</f>
        <v>18.416666666666668</v>
      </c>
      <c r="G178" s="23"/>
    </row>
    <row r="179" spans="2:7" ht="13.5" customHeight="1">
      <c r="B179" s="78"/>
      <c r="C179" s="117" t="s">
        <v>42</v>
      </c>
      <c r="D179" s="120">
        <v>2</v>
      </c>
      <c r="E179" s="121">
        <v>34</v>
      </c>
      <c r="F179" s="72">
        <f>(D179*E179)/12</f>
        <v>5.666666666666667</v>
      </c>
      <c r="G179" s="124"/>
    </row>
    <row r="180" spans="2:7" ht="13.5" customHeight="1">
      <c r="B180" s="78"/>
      <c r="C180" s="117" t="s">
        <v>50</v>
      </c>
      <c r="D180" s="120">
        <v>4</v>
      </c>
      <c r="E180" s="121">
        <v>39</v>
      </c>
      <c r="F180" s="72">
        <f>(D180*E180)/12</f>
        <v>13</v>
      </c>
      <c r="G180" s="124"/>
    </row>
    <row r="181" spans="2:7" ht="13.5" customHeight="1">
      <c r="B181" s="95"/>
      <c r="C181" s="84"/>
      <c r="D181" s="19"/>
      <c r="E181" s="344" t="s">
        <v>290</v>
      </c>
      <c r="F181" s="76">
        <f>SUM(F177:F180)</f>
        <v>39.083333333333336</v>
      </c>
      <c r="G181" s="112" t="s">
        <v>229</v>
      </c>
    </row>
    <row r="182" spans="2:7" ht="13.5" customHeight="1">
      <c r="B182" s="95"/>
      <c r="C182" s="19"/>
      <c r="D182" s="19"/>
      <c r="E182" s="93"/>
      <c r="F182" s="93"/>
      <c r="G182" s="23"/>
    </row>
    <row r="183" spans="2:7" ht="13.5" customHeight="1">
      <c r="B183" s="69"/>
      <c r="C183" s="79"/>
      <c r="D183" s="104" t="s">
        <v>291</v>
      </c>
      <c r="E183" s="104" t="s">
        <v>282</v>
      </c>
      <c r="F183" s="104" t="s">
        <v>225</v>
      </c>
      <c r="G183" s="23"/>
    </row>
    <row r="184" spans="2:7" ht="13.5" customHeight="1">
      <c r="B184" s="78"/>
      <c r="C184" s="19"/>
      <c r="D184" s="108">
        <f>E7</f>
        <v>1</v>
      </c>
      <c r="E184" s="108">
        <f>F181</f>
        <v>39.083333333333336</v>
      </c>
      <c r="F184" s="109">
        <f>ROUND(+E184*D184,2)</f>
        <v>39.08</v>
      </c>
      <c r="G184" s="23"/>
    </row>
    <row r="185" spans="2:7" ht="13.5" customHeight="1">
      <c r="B185" s="78"/>
      <c r="C185" s="19"/>
      <c r="D185" s="252"/>
      <c r="E185" s="252"/>
      <c r="F185" s="252"/>
      <c r="G185" s="23"/>
    </row>
    <row r="186" spans="2:7" ht="13.5" customHeight="1">
      <c r="B186" s="86"/>
      <c r="C186" s="19"/>
      <c r="D186" s="19"/>
      <c r="E186" s="344" t="s">
        <v>292</v>
      </c>
      <c r="F186" s="76">
        <f>F184</f>
        <v>39.08</v>
      </c>
      <c r="G186" s="23"/>
    </row>
    <row r="187" spans="2:7" ht="13.5" customHeight="1">
      <c r="B187" s="86"/>
      <c r="C187" s="19"/>
      <c r="D187" s="19"/>
      <c r="E187" s="344" t="s">
        <v>293</v>
      </c>
      <c r="F187" s="76">
        <f>+E8*F186</f>
        <v>468.96</v>
      </c>
      <c r="G187" s="112" t="s">
        <v>229</v>
      </c>
    </row>
    <row r="188" spans="2:7" ht="13.5" customHeight="1" thickBot="1">
      <c r="B188" s="125"/>
      <c r="C188" s="48"/>
      <c r="D188" s="48"/>
      <c r="E188" s="126"/>
      <c r="F188" s="127"/>
      <c r="G188" s="29"/>
    </row>
    <row r="189" spans="2:7" ht="13.5" customHeight="1" thickBot="1">
      <c r="B189" s="78"/>
      <c r="C189" s="19"/>
      <c r="D189" s="19"/>
      <c r="E189" s="93"/>
      <c r="F189" s="80"/>
      <c r="G189" s="23"/>
    </row>
    <row r="190" spans="2:7" ht="13.5" customHeight="1">
      <c r="B190" s="86"/>
      <c r="C190" s="128"/>
      <c r="D190" s="129"/>
      <c r="E190" s="129"/>
      <c r="F190" s="130"/>
      <c r="G190" s="112"/>
    </row>
    <row r="191" spans="2:7" ht="13.5" customHeight="1">
      <c r="B191" s="86"/>
      <c r="C191" s="347" t="s">
        <v>294</v>
      </c>
      <c r="D191" s="132"/>
      <c r="E191" s="76">
        <f>F186+F172</f>
        <v>243.31</v>
      </c>
      <c r="F191" s="133" t="s">
        <v>229</v>
      </c>
      <c r="G191" s="23"/>
    </row>
    <row r="192" spans="2:7" ht="13.5" customHeight="1">
      <c r="B192" s="86"/>
      <c r="C192" s="134" t="s">
        <v>295</v>
      </c>
      <c r="D192" s="132"/>
      <c r="E192" s="132"/>
      <c r="F192" s="135"/>
      <c r="G192" s="23"/>
    </row>
    <row r="193" spans="1:7" ht="13.5" customHeight="1">
      <c r="B193" s="86"/>
      <c r="C193" s="347" t="s">
        <v>296</v>
      </c>
      <c r="D193" s="132"/>
      <c r="E193" s="76">
        <f>+E191*E8</f>
        <v>2919.7200000000003</v>
      </c>
      <c r="F193" s="133" t="s">
        <v>229</v>
      </c>
      <c r="G193" s="23"/>
    </row>
    <row r="194" spans="1:7" ht="13.5" customHeight="1" thickBot="1">
      <c r="B194" s="86"/>
      <c r="C194" s="136" t="s">
        <v>295</v>
      </c>
      <c r="D194" s="137"/>
      <c r="E194" s="137"/>
      <c r="F194" s="138"/>
      <c r="G194" s="112"/>
    </row>
    <row r="195" spans="1:7" ht="13.5" customHeight="1" thickBot="1">
      <c r="B195" s="139"/>
      <c r="C195" s="48"/>
      <c r="D195" s="48"/>
      <c r="E195" s="48"/>
      <c r="F195" s="127"/>
      <c r="G195" s="29"/>
    </row>
    <row r="196" spans="1:7" ht="13.5" customHeight="1">
      <c r="A196" s="3"/>
      <c r="B196" s="3"/>
      <c r="E196" s="100"/>
      <c r="F196" s="2"/>
    </row>
    <row r="197" spans="1:7" ht="13.5" customHeight="1">
      <c r="A197" s="757" t="s">
        <v>297</v>
      </c>
      <c r="B197" s="758"/>
      <c r="C197" s="758"/>
      <c r="D197" s="758"/>
      <c r="E197" s="758"/>
      <c r="F197" s="758"/>
      <c r="G197" s="758"/>
    </row>
    <row r="198" spans="1:7" ht="13.5" customHeight="1">
      <c r="B198" s="3"/>
      <c r="F198" s="100"/>
    </row>
    <row r="199" spans="1:7" ht="13.5" customHeight="1">
      <c r="A199" s="772" t="s">
        <v>298</v>
      </c>
      <c r="B199" s="772"/>
      <c r="C199" s="772"/>
      <c r="D199" s="772"/>
      <c r="E199" s="772"/>
      <c r="F199" s="772"/>
      <c r="G199" s="772"/>
    </row>
    <row r="200" spans="1:7" ht="13.5" customHeight="1" thickBot="1">
      <c r="B200" s="3"/>
      <c r="F200" s="100"/>
    </row>
    <row r="201" spans="1:7" ht="13.5" customHeight="1">
      <c r="A201" s="52"/>
      <c r="B201" s="349" t="s">
        <v>299</v>
      </c>
      <c r="C201" s="13"/>
      <c r="D201" s="13"/>
      <c r="E201" s="140"/>
      <c r="F201" s="13"/>
      <c r="G201" s="14"/>
    </row>
    <row r="202" spans="1:7" ht="13.5" customHeight="1">
      <c r="A202" s="52"/>
      <c r="B202" s="86"/>
      <c r="C202" s="19"/>
      <c r="D202" s="19"/>
      <c r="E202" s="93"/>
      <c r="F202" s="19"/>
      <c r="G202" s="23"/>
    </row>
    <row r="203" spans="1:7">
      <c r="A203" s="52"/>
      <c r="B203" s="141" t="s">
        <v>532</v>
      </c>
      <c r="C203" s="19"/>
      <c r="D203" s="19"/>
      <c r="E203" s="142">
        <v>0.2</v>
      </c>
      <c r="F203" s="19"/>
      <c r="G203" s="23"/>
    </row>
    <row r="204" spans="1:7">
      <c r="A204" s="52"/>
      <c r="B204" s="141"/>
      <c r="C204" s="19"/>
      <c r="D204" s="19"/>
      <c r="E204" s="19"/>
      <c r="F204" s="19"/>
      <c r="G204" s="23"/>
    </row>
    <row r="205" spans="1:7" ht="12.75" customHeight="1">
      <c r="A205" s="52"/>
      <c r="B205" s="143"/>
      <c r="C205" s="144" t="s">
        <v>300</v>
      </c>
      <c r="D205" s="145"/>
      <c r="E205" s="72">
        <v>1</v>
      </c>
      <c r="F205" s="77" t="s">
        <v>301</v>
      </c>
      <c r="G205" s="23"/>
    </row>
    <row r="206" spans="1:7">
      <c r="A206" s="52"/>
      <c r="B206" s="143"/>
      <c r="C206" s="144" t="s">
        <v>302</v>
      </c>
      <c r="D206" s="145"/>
      <c r="E206" s="21">
        <v>580706</v>
      </c>
      <c r="F206" s="77" t="s">
        <v>229</v>
      </c>
      <c r="G206" s="23"/>
    </row>
    <row r="207" spans="1:7">
      <c r="A207" s="52"/>
      <c r="B207" s="143"/>
      <c r="C207" s="144" t="s">
        <v>656</v>
      </c>
      <c r="D207" s="145"/>
      <c r="E207" s="21">
        <v>270000</v>
      </c>
      <c r="F207" s="77"/>
      <c r="G207" s="23"/>
    </row>
    <row r="208" spans="1:7">
      <c r="A208" s="52"/>
      <c r="B208" s="143"/>
      <c r="C208" s="144" t="s">
        <v>303</v>
      </c>
      <c r="D208" s="145"/>
      <c r="E208" s="21">
        <f>E206+E207</f>
        <v>850706</v>
      </c>
      <c r="F208" s="77" t="s">
        <v>229</v>
      </c>
      <c r="G208" s="23"/>
    </row>
    <row r="209" spans="1:12">
      <c r="A209" s="52"/>
      <c r="B209" s="143"/>
      <c r="C209" s="144" t="s">
        <v>304</v>
      </c>
      <c r="D209" s="145"/>
      <c r="E209" s="21">
        <v>5</v>
      </c>
      <c r="F209" s="77" t="s">
        <v>305</v>
      </c>
      <c r="G209" s="23"/>
    </row>
    <row r="210" spans="1:12" ht="12" thickBot="1">
      <c r="A210" s="52"/>
      <c r="B210" s="146"/>
      <c r="C210" s="144" t="s">
        <v>306</v>
      </c>
      <c r="D210" s="145"/>
      <c r="E210" s="27">
        <f>E203*E208</f>
        <v>170141.2</v>
      </c>
      <c r="F210" s="77" t="s">
        <v>229</v>
      </c>
      <c r="G210" s="23"/>
      <c r="J210" s="144"/>
      <c r="K210" s="145"/>
      <c r="L210" s="77"/>
    </row>
    <row r="211" spans="1:12">
      <c r="A211" s="52"/>
      <c r="B211" s="146"/>
      <c r="C211" s="144" t="s">
        <v>307</v>
      </c>
      <c r="D211" s="145"/>
      <c r="E211" s="147">
        <v>2504.64</v>
      </c>
      <c r="F211" s="77" t="s">
        <v>308</v>
      </c>
      <c r="G211" s="23"/>
      <c r="J211" s="144"/>
      <c r="K211" s="145"/>
      <c r="L211" s="77"/>
    </row>
    <row r="212" spans="1:12">
      <c r="A212" s="52"/>
      <c r="B212" s="141"/>
      <c r="C212" s="144" t="s">
        <v>309</v>
      </c>
      <c r="D212" s="145"/>
      <c r="E212" s="148">
        <f>(E208-E210)/(E209*E211)</f>
        <v>54.344320940334747</v>
      </c>
      <c r="F212" s="77" t="s">
        <v>229</v>
      </c>
      <c r="G212" s="23"/>
      <c r="J212" s="144"/>
      <c r="K212" s="145"/>
      <c r="L212" s="77"/>
    </row>
    <row r="213" spans="1:12">
      <c r="A213" s="52"/>
      <c r="B213" s="141"/>
      <c r="C213" s="149" t="s">
        <v>310</v>
      </c>
      <c r="D213" s="145"/>
      <c r="E213" s="150">
        <f>E212*E211</f>
        <v>136112.96000000002</v>
      </c>
      <c r="F213" s="77" t="s">
        <v>229</v>
      </c>
      <c r="G213" s="23"/>
      <c r="J213" s="144"/>
      <c r="K213" s="145"/>
      <c r="L213" s="77"/>
    </row>
    <row r="214" spans="1:12">
      <c r="A214" s="52"/>
      <c r="B214" s="141"/>
      <c r="C214" s="149" t="s">
        <v>311</v>
      </c>
      <c r="D214" s="145"/>
      <c r="E214" s="151">
        <f>E213/12</f>
        <v>11342.746666666668</v>
      </c>
      <c r="F214" s="77" t="s">
        <v>312</v>
      </c>
      <c r="G214" s="23"/>
      <c r="J214" s="144"/>
      <c r="K214" s="145"/>
      <c r="L214" s="77"/>
    </row>
    <row r="215" spans="1:12" ht="12" thickBot="1">
      <c r="A215" s="52"/>
      <c r="B215" s="141"/>
      <c r="C215" s="149" t="s">
        <v>313</v>
      </c>
      <c r="D215" s="145"/>
      <c r="E215" s="152">
        <f>E205*E214</f>
        <v>11342.746666666668</v>
      </c>
      <c r="F215" s="77" t="s">
        <v>312</v>
      </c>
      <c r="G215" s="23"/>
      <c r="J215" s="144"/>
      <c r="K215" s="145"/>
      <c r="L215" s="77"/>
    </row>
    <row r="216" spans="1:12">
      <c r="A216" s="52"/>
      <c r="B216" s="141"/>
      <c r="C216" s="149"/>
      <c r="D216" s="145"/>
      <c r="E216" s="149"/>
      <c r="F216" s="77"/>
      <c r="G216" s="23"/>
      <c r="J216" s="144"/>
      <c r="K216" s="145"/>
      <c r="L216" s="77"/>
    </row>
    <row r="217" spans="1:12">
      <c r="A217" s="52"/>
      <c r="B217" s="141"/>
      <c r="C217" s="149"/>
      <c r="D217" s="145"/>
      <c r="E217" s="149"/>
      <c r="F217" s="77"/>
      <c r="G217" s="23"/>
      <c r="J217" s="144"/>
      <c r="K217" s="145"/>
      <c r="L217" s="77"/>
    </row>
    <row r="218" spans="1:12">
      <c r="A218" s="52"/>
      <c r="B218" s="86"/>
      <c r="C218" s="19"/>
      <c r="D218" s="84" t="s">
        <v>316</v>
      </c>
      <c r="E218" s="76">
        <f>+E215</f>
        <v>11342.746666666668</v>
      </c>
      <c r="F218" s="77" t="s">
        <v>229</v>
      </c>
      <c r="G218" s="23"/>
      <c r="J218" s="144"/>
      <c r="K218" s="145"/>
      <c r="L218" s="77"/>
    </row>
    <row r="219" spans="1:12">
      <c r="A219" s="52"/>
      <c r="B219" s="86"/>
      <c r="C219" s="19"/>
      <c r="D219" s="344" t="s">
        <v>286</v>
      </c>
      <c r="E219" s="171">
        <f>E8*E218</f>
        <v>136112.96000000002</v>
      </c>
      <c r="F219" s="77" t="s">
        <v>229</v>
      </c>
      <c r="G219" s="23"/>
      <c r="J219" s="144"/>
      <c r="K219" s="145"/>
      <c r="L219" s="77"/>
    </row>
    <row r="220" spans="1:12">
      <c r="B220" s="86"/>
      <c r="C220" s="19"/>
      <c r="D220" s="19"/>
      <c r="E220" s="19"/>
      <c r="F220" s="80"/>
      <c r="G220" s="235"/>
    </row>
    <row r="221" spans="1:12">
      <c r="B221" s="86"/>
      <c r="C221" s="19"/>
      <c r="D221" s="19"/>
      <c r="E221" s="19"/>
      <c r="F221" s="80"/>
      <c r="G221" s="235"/>
    </row>
    <row r="222" spans="1:12">
      <c r="B222" s="86"/>
      <c r="C222" s="19"/>
      <c r="D222" s="19"/>
      <c r="E222" s="19"/>
      <c r="F222" s="80"/>
      <c r="G222" s="235"/>
    </row>
    <row r="223" spans="1:12">
      <c r="A223" s="52"/>
      <c r="B223" s="350" t="s">
        <v>317</v>
      </c>
      <c r="C223" s="19"/>
      <c r="D223" s="19"/>
      <c r="E223" s="19"/>
      <c r="F223" s="80"/>
      <c r="G223" s="235"/>
    </row>
    <row r="224" spans="1:12">
      <c r="A224" s="52"/>
      <c r="B224" s="350" t="s">
        <v>318</v>
      </c>
      <c r="C224" s="19"/>
      <c r="D224" s="19"/>
      <c r="E224" s="19"/>
      <c r="F224" s="80"/>
      <c r="G224" s="235"/>
    </row>
    <row r="225" spans="2:7">
      <c r="B225" s="141" t="s">
        <v>319</v>
      </c>
      <c r="C225" s="19"/>
      <c r="D225" s="19"/>
      <c r="E225" s="19"/>
      <c r="F225" s="80"/>
      <c r="G225" s="235"/>
    </row>
    <row r="226" spans="2:7">
      <c r="B226" s="153"/>
      <c r="C226" s="154" t="s">
        <v>320</v>
      </c>
      <c r="D226" s="155"/>
      <c r="E226" s="80"/>
      <c r="F226" s="80"/>
      <c r="G226" s="235"/>
    </row>
    <row r="227" spans="2:7">
      <c r="B227" s="153"/>
      <c r="C227" s="19"/>
      <c r="D227" s="19"/>
      <c r="E227" s="19"/>
      <c r="F227" s="80"/>
      <c r="G227" s="235"/>
    </row>
    <row r="228" spans="2:7" ht="13.5" customHeight="1">
      <c r="B228" s="153"/>
      <c r="C228" s="156" t="s">
        <v>321</v>
      </c>
      <c r="D228" s="157">
        <f>E203</f>
        <v>0.2</v>
      </c>
      <c r="E228" s="19"/>
      <c r="F228" s="80"/>
      <c r="G228" s="235"/>
    </row>
    <row r="229" spans="2:7">
      <c r="B229" s="153"/>
      <c r="C229" s="158" t="s">
        <v>322</v>
      </c>
      <c r="D229" s="159">
        <v>5</v>
      </c>
      <c r="E229" s="19"/>
      <c r="F229" s="80"/>
      <c r="G229" s="235"/>
    </row>
    <row r="230" spans="2:7">
      <c r="B230" s="153"/>
      <c r="C230" s="158" t="s">
        <v>323</v>
      </c>
      <c r="D230" s="160">
        <v>0.104</v>
      </c>
      <c r="E230" s="19"/>
      <c r="F230" s="80"/>
      <c r="G230" s="235"/>
    </row>
    <row r="231" spans="2:7" ht="12" thickBot="1">
      <c r="B231" s="143"/>
      <c r="C231" s="161" t="s">
        <v>324</v>
      </c>
      <c r="D231" s="162">
        <f>((2+(D229-1)*(D228+1))/(24*D229)*D230)</f>
        <v>5.8933333333333329E-3</v>
      </c>
      <c r="E231" s="77"/>
      <c r="F231" s="77"/>
      <c r="G231" s="235"/>
    </row>
    <row r="232" spans="2:7">
      <c r="B232" s="143"/>
      <c r="C232" s="145"/>
      <c r="D232" s="145"/>
      <c r="E232" s="77"/>
      <c r="F232" s="77"/>
      <c r="G232" s="235"/>
    </row>
    <row r="233" spans="2:7">
      <c r="B233" s="143"/>
      <c r="C233" s="144" t="s">
        <v>325</v>
      </c>
      <c r="D233" s="77"/>
      <c r="E233" s="72">
        <f>E205</f>
        <v>1</v>
      </c>
      <c r="F233" s="77" t="s">
        <v>301</v>
      </c>
      <c r="G233" s="235"/>
    </row>
    <row r="234" spans="2:7">
      <c r="B234" s="143"/>
      <c r="C234" s="144" t="s">
        <v>303</v>
      </c>
      <c r="D234" s="145"/>
      <c r="E234" s="21">
        <f>E208</f>
        <v>850706</v>
      </c>
      <c r="F234" s="77" t="s">
        <v>229</v>
      </c>
      <c r="G234" s="235"/>
    </row>
    <row r="235" spans="2:7">
      <c r="B235" s="143"/>
      <c r="C235" s="144" t="s">
        <v>326</v>
      </c>
      <c r="D235" s="145"/>
      <c r="E235" s="163">
        <f>D231</f>
        <v>5.8933333333333329E-3</v>
      </c>
      <c r="F235" s="164"/>
      <c r="G235" s="235"/>
    </row>
    <row r="236" spans="2:7" ht="10.95" customHeight="1">
      <c r="B236" s="143"/>
      <c r="C236" s="144" t="s">
        <v>327</v>
      </c>
      <c r="D236" s="145"/>
      <c r="E236" s="21">
        <f>E234*E235</f>
        <v>5013.4940266666663</v>
      </c>
      <c r="F236" s="77" t="s">
        <v>229</v>
      </c>
      <c r="G236" s="235"/>
    </row>
    <row r="237" spans="2:7">
      <c r="B237" s="165"/>
      <c r="C237" s="149" t="s">
        <v>313</v>
      </c>
      <c r="D237" s="145"/>
      <c r="E237" s="166">
        <f>E236*E233</f>
        <v>5013.4940266666663</v>
      </c>
      <c r="F237" s="167"/>
      <c r="G237" s="235"/>
    </row>
    <row r="238" spans="2:7" hidden="1">
      <c r="B238" s="165"/>
      <c r="C238" s="149"/>
      <c r="D238" s="145"/>
      <c r="E238" s="145"/>
      <c r="F238" s="167"/>
      <c r="G238" s="235"/>
    </row>
    <row r="239" spans="2:7" hidden="1">
      <c r="B239" s="350" t="s">
        <v>314</v>
      </c>
      <c r="C239" s="149"/>
      <c r="D239" s="145"/>
      <c r="E239" s="145"/>
      <c r="F239" s="167"/>
      <c r="G239" s="235"/>
    </row>
    <row r="240" spans="2:7" hidden="1">
      <c r="B240" s="141"/>
      <c r="C240" s="154" t="s">
        <v>320</v>
      </c>
      <c r="D240" s="155"/>
      <c r="E240" s="80"/>
      <c r="F240" s="80"/>
      <c r="G240" s="235"/>
    </row>
    <row r="241" spans="1:7" hidden="1">
      <c r="B241" s="86"/>
      <c r="C241" s="19"/>
      <c r="D241" s="19"/>
      <c r="E241" s="19"/>
      <c r="F241" s="80"/>
      <c r="G241" s="235"/>
    </row>
    <row r="242" spans="1:7" hidden="1">
      <c r="B242" s="86"/>
      <c r="C242" s="156" t="s">
        <v>321</v>
      </c>
      <c r="D242" s="157">
        <v>0</v>
      </c>
      <c r="E242" s="19"/>
      <c r="F242" s="80"/>
      <c r="G242" s="235"/>
    </row>
    <row r="243" spans="1:7" hidden="1">
      <c r="B243" s="86"/>
      <c r="C243" s="158" t="s">
        <v>322</v>
      </c>
      <c r="D243" s="159">
        <v>0</v>
      </c>
      <c r="E243" s="19"/>
      <c r="F243" s="80"/>
      <c r="G243" s="235"/>
    </row>
    <row r="244" spans="1:7" hidden="1">
      <c r="B244" s="86"/>
      <c r="C244" s="158" t="s">
        <v>323</v>
      </c>
      <c r="D244" s="160">
        <f>'DADOS DE ENTRADA'!B48</f>
        <v>0.03</v>
      </c>
      <c r="E244" s="19"/>
      <c r="F244" s="80"/>
      <c r="G244" s="235"/>
    </row>
    <row r="245" spans="1:7" ht="12" hidden="1" thickBot="1">
      <c r="B245" s="86"/>
      <c r="C245" s="161" t="s">
        <v>324</v>
      </c>
      <c r="D245" s="162" t="e">
        <f>((2+(D243-1)*(D242+1))/(24*D243)*D244)</f>
        <v>#DIV/0!</v>
      </c>
      <c r="E245" s="77"/>
      <c r="F245" s="77"/>
      <c r="G245" s="235"/>
    </row>
    <row r="246" spans="1:7" hidden="1">
      <c r="B246" s="86"/>
      <c r="C246" s="145"/>
      <c r="D246" s="145"/>
      <c r="E246" s="77"/>
      <c r="F246" s="77"/>
      <c r="G246" s="235"/>
    </row>
    <row r="247" spans="1:7" hidden="1">
      <c r="B247" s="86"/>
      <c r="C247" s="144" t="s">
        <v>328</v>
      </c>
      <c r="D247" s="77"/>
      <c r="E247" s="72">
        <v>0</v>
      </c>
      <c r="F247" s="77" t="s">
        <v>301</v>
      </c>
      <c r="G247" s="235"/>
    </row>
    <row r="248" spans="1:7" hidden="1">
      <c r="B248" s="86"/>
      <c r="C248" s="144" t="s">
        <v>329</v>
      </c>
      <c r="D248" s="145"/>
      <c r="E248" s="21">
        <f>'DADOS DE ENTRADA'!E68</f>
        <v>0</v>
      </c>
      <c r="F248" s="77" t="s">
        <v>229</v>
      </c>
      <c r="G248" s="235"/>
    </row>
    <row r="249" spans="1:7" hidden="1">
      <c r="B249" s="165"/>
      <c r="C249" s="144" t="s">
        <v>326</v>
      </c>
      <c r="D249" s="145"/>
      <c r="E249" s="163" t="e">
        <f>D245</f>
        <v>#DIV/0!</v>
      </c>
      <c r="F249" s="164"/>
      <c r="G249" s="235"/>
    </row>
    <row r="250" spans="1:7" hidden="1">
      <c r="B250" s="165"/>
      <c r="C250" s="144" t="s">
        <v>327</v>
      </c>
      <c r="D250" s="145"/>
      <c r="E250" s="21" t="e">
        <f>E248*E249</f>
        <v>#DIV/0!</v>
      </c>
      <c r="F250" s="77" t="s">
        <v>229</v>
      </c>
      <c r="G250" s="235"/>
    </row>
    <row r="251" spans="1:7" hidden="1">
      <c r="B251" s="165"/>
      <c r="C251" s="149" t="s">
        <v>315</v>
      </c>
      <c r="D251" s="145"/>
      <c r="E251" s="166" t="e">
        <f>E250*E247</f>
        <v>#DIV/0!</v>
      </c>
      <c r="F251" s="77"/>
      <c r="G251" s="235"/>
    </row>
    <row r="252" spans="1:7">
      <c r="B252" s="165"/>
      <c r="C252" s="149"/>
      <c r="D252" s="145"/>
      <c r="E252" s="145"/>
      <c r="F252" s="167"/>
      <c r="G252" s="235"/>
    </row>
    <row r="253" spans="1:7">
      <c r="B253" s="86"/>
      <c r="C253" s="17"/>
      <c r="D253" s="84" t="s">
        <v>330</v>
      </c>
      <c r="E253" s="76">
        <f>E237</f>
        <v>5013.4940266666663</v>
      </c>
      <c r="F253" s="77" t="s">
        <v>229</v>
      </c>
      <c r="G253" s="235"/>
    </row>
    <row r="254" spans="1:7">
      <c r="B254" s="86"/>
      <c r="C254" s="16"/>
      <c r="D254" s="344" t="s">
        <v>293</v>
      </c>
      <c r="E254" s="171">
        <f>E8*E253</f>
        <v>60161.928319999992</v>
      </c>
      <c r="F254" s="77" t="s">
        <v>229</v>
      </c>
      <c r="G254" s="235"/>
    </row>
    <row r="255" spans="1:7">
      <c r="B255" s="153"/>
      <c r="C255" s="19"/>
      <c r="D255" s="19"/>
      <c r="E255" s="19"/>
      <c r="F255" s="80"/>
      <c r="G255" s="235"/>
    </row>
    <row r="256" spans="1:7">
      <c r="A256" s="52"/>
      <c r="B256" s="350" t="s">
        <v>331</v>
      </c>
      <c r="C256" s="19"/>
      <c r="D256" s="19"/>
      <c r="E256" s="19"/>
      <c r="F256" s="93"/>
      <c r="G256" s="23"/>
    </row>
    <row r="257" spans="1:7">
      <c r="A257" s="91"/>
      <c r="B257" s="78"/>
      <c r="C257" s="19"/>
      <c r="D257" s="79" t="s">
        <v>332</v>
      </c>
      <c r="E257" s="237">
        <v>0</v>
      </c>
      <c r="F257" s="77" t="s">
        <v>229</v>
      </c>
      <c r="G257" s="23"/>
    </row>
    <row r="258" spans="1:7">
      <c r="A258" s="91"/>
      <c r="B258" s="78"/>
      <c r="C258" s="19"/>
      <c r="D258" s="79" t="s">
        <v>333</v>
      </c>
      <c r="E258" s="237">
        <v>0</v>
      </c>
      <c r="F258" s="77" t="s">
        <v>229</v>
      </c>
      <c r="G258" s="23"/>
    </row>
    <row r="259" spans="1:7">
      <c r="A259" s="91"/>
      <c r="B259" s="78"/>
      <c r="C259" s="19"/>
      <c r="D259" s="19"/>
      <c r="E259" s="19"/>
      <c r="F259" s="93"/>
      <c r="G259" s="23"/>
    </row>
    <row r="260" spans="1:7">
      <c r="A260" s="91"/>
      <c r="B260" s="78"/>
      <c r="C260" s="144" t="s">
        <v>325</v>
      </c>
      <c r="D260" s="145"/>
      <c r="E260" s="72">
        <f>E233</f>
        <v>1</v>
      </c>
      <c r="F260" s="77" t="s">
        <v>301</v>
      </c>
      <c r="G260" s="23"/>
    </row>
    <row r="261" spans="1:7">
      <c r="A261" s="91"/>
      <c r="B261" s="78"/>
      <c r="C261" s="144" t="s">
        <v>302</v>
      </c>
      <c r="D261" s="145"/>
      <c r="E261" s="21">
        <f>E206</f>
        <v>580706</v>
      </c>
      <c r="F261" s="77" t="s">
        <v>229</v>
      </c>
      <c r="G261" s="23"/>
    </row>
    <row r="262" spans="1:7">
      <c r="A262" s="91"/>
      <c r="B262" s="78"/>
      <c r="C262" s="144" t="s">
        <v>334</v>
      </c>
      <c r="D262" s="397">
        <v>0.05</v>
      </c>
      <c r="E262" s="193">
        <f>E261*D262</f>
        <v>29035.300000000003</v>
      </c>
      <c r="F262" s="351" t="s">
        <v>335</v>
      </c>
      <c r="G262" s="23"/>
    </row>
    <row r="263" spans="1:7">
      <c r="A263" s="91"/>
      <c r="B263" s="78"/>
      <c r="C263" s="144" t="s">
        <v>336</v>
      </c>
      <c r="D263" s="145"/>
      <c r="E263" s="193">
        <f>E261*'DADOS DE ENTRADA'!B63</f>
        <v>5807.06</v>
      </c>
      <c r="F263" s="351" t="s">
        <v>335</v>
      </c>
      <c r="G263" s="23"/>
    </row>
    <row r="264" spans="1:7">
      <c r="A264" s="91"/>
      <c r="B264" s="78"/>
      <c r="C264" s="144" t="s">
        <v>337</v>
      </c>
      <c r="D264" s="145"/>
      <c r="E264" s="76">
        <f>E262+E263+E257+E258</f>
        <v>34842.36</v>
      </c>
      <c r="F264" s="351" t="s">
        <v>335</v>
      </c>
      <c r="G264" s="23"/>
    </row>
    <row r="265" spans="1:7">
      <c r="A265" s="91"/>
      <c r="B265" s="78"/>
      <c r="C265" s="144" t="s">
        <v>338</v>
      </c>
      <c r="D265" s="145"/>
      <c r="E265" s="171">
        <f>E264*E260</f>
        <v>34842.36</v>
      </c>
      <c r="F265" s="351" t="s">
        <v>335</v>
      </c>
      <c r="G265" s="23"/>
    </row>
    <row r="266" spans="1:7">
      <c r="A266" s="91"/>
      <c r="B266" s="78"/>
      <c r="C266" s="19"/>
      <c r="D266" s="19"/>
      <c r="E266" s="19"/>
      <c r="F266" s="93"/>
      <c r="G266" s="23"/>
    </row>
    <row r="267" spans="1:7">
      <c r="A267" s="91"/>
      <c r="B267" s="78"/>
      <c r="C267" s="19"/>
      <c r="D267" s="84" t="s">
        <v>339</v>
      </c>
      <c r="E267" s="76">
        <f>ROUND((E265)/12,2)</f>
        <v>2903.53</v>
      </c>
      <c r="F267" s="77" t="s">
        <v>340</v>
      </c>
      <c r="G267" s="23"/>
    </row>
    <row r="268" spans="1:7">
      <c r="A268" s="91"/>
      <c r="B268" s="78"/>
      <c r="C268" s="19"/>
      <c r="D268" s="344" t="s">
        <v>341</v>
      </c>
      <c r="E268" s="171">
        <f>E8*E267</f>
        <v>34842.36</v>
      </c>
      <c r="F268" s="77" t="s">
        <v>229</v>
      </c>
      <c r="G268" s="23"/>
    </row>
    <row r="269" spans="1:7">
      <c r="A269" s="91"/>
      <c r="B269" s="78"/>
      <c r="C269" s="19"/>
      <c r="D269" s="19"/>
      <c r="E269" s="19"/>
      <c r="F269" s="93"/>
      <c r="G269" s="23"/>
    </row>
    <row r="270" spans="1:7">
      <c r="A270" s="52"/>
      <c r="B270" s="350" t="s">
        <v>342</v>
      </c>
      <c r="C270" s="19"/>
      <c r="D270" s="19"/>
      <c r="E270" s="19"/>
      <c r="F270" s="93"/>
      <c r="G270" s="23"/>
    </row>
    <row r="271" spans="1:7">
      <c r="A271" s="52"/>
      <c r="B271" s="350" t="s">
        <v>318</v>
      </c>
      <c r="C271" s="19"/>
      <c r="D271" s="19"/>
      <c r="E271" s="19"/>
      <c r="F271" s="93"/>
      <c r="G271" s="23"/>
    </row>
    <row r="272" spans="1:7">
      <c r="A272" s="52"/>
      <c r="B272" s="86"/>
      <c r="C272" s="19"/>
      <c r="D272" s="19"/>
      <c r="E272" s="19"/>
      <c r="F272" s="93"/>
      <c r="G272" s="23"/>
    </row>
    <row r="273" spans="1:7">
      <c r="A273" s="52"/>
      <c r="B273" s="86"/>
      <c r="C273" s="144" t="s">
        <v>325</v>
      </c>
      <c r="D273" s="145"/>
      <c r="E273" s="72">
        <f>E233</f>
        <v>1</v>
      </c>
      <c r="F273" s="77" t="s">
        <v>301</v>
      </c>
      <c r="G273" s="23"/>
    </row>
    <row r="274" spans="1:7">
      <c r="A274" s="52"/>
      <c r="B274" s="86"/>
      <c r="C274" s="144" t="s">
        <v>303</v>
      </c>
      <c r="D274" s="145"/>
      <c r="E274" s="168">
        <f>E208</f>
        <v>850706</v>
      </c>
      <c r="F274" s="77" t="s">
        <v>229</v>
      </c>
      <c r="G274" s="23"/>
    </row>
    <row r="275" spans="1:7">
      <c r="A275" s="52"/>
      <c r="B275" s="86"/>
      <c r="C275" s="144" t="s">
        <v>304</v>
      </c>
      <c r="D275" s="145"/>
      <c r="E275" s="168">
        <f>E209</f>
        <v>5</v>
      </c>
      <c r="F275" s="351" t="s">
        <v>305</v>
      </c>
      <c r="G275" s="23"/>
    </row>
    <row r="276" spans="1:7">
      <c r="A276" s="52"/>
      <c r="B276" s="86"/>
      <c r="C276" s="144" t="s">
        <v>343</v>
      </c>
      <c r="D276" s="145"/>
      <c r="E276" s="168">
        <v>0.6</v>
      </c>
      <c r="F276" s="164"/>
      <c r="G276" s="23"/>
    </row>
    <row r="277" spans="1:7">
      <c r="A277" s="52"/>
      <c r="B277" s="86"/>
      <c r="C277" s="144" t="s">
        <v>344</v>
      </c>
      <c r="D277" s="145"/>
      <c r="E277" s="169">
        <v>2504.64</v>
      </c>
      <c r="F277" s="351" t="s">
        <v>345</v>
      </c>
      <c r="G277" s="23"/>
    </row>
    <row r="278" spans="1:7">
      <c r="A278" s="52"/>
      <c r="B278" s="86"/>
      <c r="C278" s="149" t="s">
        <v>337</v>
      </c>
      <c r="D278" s="145"/>
      <c r="E278" s="76">
        <f>(E274*E276)/(E277*E275)</f>
        <v>40.758240705251055</v>
      </c>
      <c r="F278" s="77" t="s">
        <v>229</v>
      </c>
      <c r="G278" s="23"/>
    </row>
    <row r="279" spans="1:7">
      <c r="A279" s="52"/>
      <c r="B279" s="86"/>
      <c r="C279" s="149" t="s">
        <v>282</v>
      </c>
      <c r="D279" s="145"/>
      <c r="E279" s="76">
        <f>(E278*E277)/12</f>
        <v>8507.06</v>
      </c>
      <c r="F279" s="77" t="s">
        <v>229</v>
      </c>
      <c r="G279" s="23"/>
    </row>
    <row r="280" spans="1:7">
      <c r="A280" s="52"/>
      <c r="B280" s="86"/>
      <c r="C280" s="149" t="s">
        <v>338</v>
      </c>
      <c r="D280" s="145"/>
      <c r="E280" s="76">
        <f>E279*E273</f>
        <v>8507.06</v>
      </c>
      <c r="F280" s="77" t="s">
        <v>229</v>
      </c>
      <c r="G280" s="23"/>
    </row>
    <row r="281" spans="1:7">
      <c r="A281" s="52"/>
      <c r="B281" s="86"/>
      <c r="C281" s="19"/>
      <c r="D281" s="19"/>
      <c r="E281" s="19"/>
      <c r="F281" s="93"/>
      <c r="G281" s="23"/>
    </row>
    <row r="282" spans="1:7" hidden="1">
      <c r="A282" s="52"/>
      <c r="B282" s="350" t="s">
        <v>542</v>
      </c>
      <c r="C282" s="19"/>
      <c r="D282" s="19"/>
      <c r="E282" s="19"/>
      <c r="F282" s="93"/>
      <c r="G282" s="23"/>
    </row>
    <row r="283" spans="1:7" hidden="1">
      <c r="A283" s="52"/>
      <c r="B283" s="86"/>
      <c r="C283" s="19"/>
      <c r="D283" s="19"/>
      <c r="E283" s="19"/>
      <c r="F283" s="93"/>
      <c r="G283" s="23"/>
    </row>
    <row r="284" spans="1:7" hidden="1">
      <c r="A284" s="52"/>
      <c r="B284" s="86"/>
      <c r="C284" s="144" t="s">
        <v>328</v>
      </c>
      <c r="D284" s="145"/>
      <c r="E284" s="72">
        <v>0</v>
      </c>
      <c r="F284" s="77" t="s">
        <v>301</v>
      </c>
      <c r="G284" s="23"/>
    </row>
    <row r="285" spans="1:7" hidden="1">
      <c r="A285" s="52"/>
      <c r="B285" s="86"/>
      <c r="C285" s="144" t="s">
        <v>303</v>
      </c>
      <c r="D285" s="145"/>
      <c r="E285" s="168">
        <v>0</v>
      </c>
      <c r="F285" s="77" t="s">
        <v>229</v>
      </c>
      <c r="G285" s="23"/>
    </row>
    <row r="286" spans="1:7" hidden="1">
      <c r="A286" s="52"/>
      <c r="B286" s="86"/>
      <c r="C286" s="144" t="s">
        <v>304</v>
      </c>
      <c r="D286" s="145"/>
      <c r="E286" s="168">
        <v>5</v>
      </c>
      <c r="F286" s="351" t="s">
        <v>305</v>
      </c>
      <c r="G286" s="23"/>
    </row>
    <row r="287" spans="1:7" hidden="1">
      <c r="A287" s="52"/>
      <c r="B287" s="86"/>
      <c r="C287" s="144" t="s">
        <v>343</v>
      </c>
      <c r="D287" s="145"/>
      <c r="E287" s="168">
        <v>0.6</v>
      </c>
      <c r="F287" s="164"/>
      <c r="G287" s="23"/>
    </row>
    <row r="288" spans="1:7" hidden="1">
      <c r="A288" s="52"/>
      <c r="B288" s="86"/>
      <c r="C288" s="144" t="s">
        <v>344</v>
      </c>
      <c r="D288" s="145"/>
      <c r="E288" s="147">
        <v>8766</v>
      </c>
      <c r="F288" s="351" t="s">
        <v>345</v>
      </c>
      <c r="G288" s="23"/>
    </row>
    <row r="289" spans="1:7" hidden="1">
      <c r="A289" s="52"/>
      <c r="B289" s="86"/>
      <c r="C289" s="149" t="s">
        <v>337</v>
      </c>
      <c r="D289" s="145"/>
      <c r="E289" s="76">
        <f>(E285*E287)/(E288*E286)</f>
        <v>0</v>
      </c>
      <c r="F289" s="77" t="s">
        <v>229</v>
      </c>
      <c r="G289" s="23"/>
    </row>
    <row r="290" spans="1:7" hidden="1">
      <c r="A290" s="52"/>
      <c r="B290" s="86"/>
      <c r="C290" s="149" t="s">
        <v>282</v>
      </c>
      <c r="D290" s="145"/>
      <c r="E290" s="76">
        <f>E289*E288/12</f>
        <v>0</v>
      </c>
      <c r="F290" s="77" t="s">
        <v>229</v>
      </c>
      <c r="G290" s="23"/>
    </row>
    <row r="291" spans="1:7" hidden="1">
      <c r="A291" s="52"/>
      <c r="B291" s="86"/>
      <c r="C291" s="149" t="s">
        <v>315</v>
      </c>
      <c r="D291" s="145"/>
      <c r="E291" s="76">
        <f>E290*E284</f>
        <v>0</v>
      </c>
      <c r="F291" s="77" t="s">
        <v>229</v>
      </c>
      <c r="G291" s="23"/>
    </row>
    <row r="292" spans="1:7">
      <c r="A292" s="52"/>
      <c r="B292" s="86"/>
      <c r="C292" s="19"/>
      <c r="D292" s="19"/>
      <c r="E292" s="19"/>
      <c r="F292" s="93"/>
      <c r="G292" s="23"/>
    </row>
    <row r="293" spans="1:7">
      <c r="A293" s="52"/>
      <c r="B293" s="86"/>
      <c r="C293" s="19"/>
      <c r="D293" s="84" t="s">
        <v>346</v>
      </c>
      <c r="E293" s="76">
        <f>E280+E291</f>
        <v>8507.06</v>
      </c>
      <c r="F293" s="77" t="s">
        <v>229</v>
      </c>
      <c r="G293" s="23"/>
    </row>
    <row r="294" spans="1:7">
      <c r="A294" s="52"/>
      <c r="B294" s="86"/>
      <c r="C294" s="19"/>
      <c r="D294" s="344" t="s">
        <v>347</v>
      </c>
      <c r="E294" s="171">
        <f>E8*E293</f>
        <v>102084.72</v>
      </c>
      <c r="F294" s="77" t="s">
        <v>229</v>
      </c>
      <c r="G294" s="23"/>
    </row>
    <row r="295" spans="1:7">
      <c r="A295" s="52"/>
      <c r="B295" s="86"/>
      <c r="C295" s="19"/>
      <c r="D295" s="19"/>
      <c r="E295" s="19"/>
      <c r="F295" s="93"/>
      <c r="G295" s="23"/>
    </row>
    <row r="296" spans="1:7" hidden="1">
      <c r="A296" s="52"/>
      <c r="B296" s="350" t="s">
        <v>533</v>
      </c>
      <c r="C296" s="19"/>
      <c r="D296" s="19"/>
      <c r="E296" s="19"/>
      <c r="F296" s="93"/>
      <c r="G296" s="23"/>
    </row>
    <row r="297" spans="1:7" hidden="1">
      <c r="A297" s="52"/>
      <c r="B297" s="86"/>
      <c r="C297" s="144" t="s">
        <v>325</v>
      </c>
      <c r="D297" s="145"/>
      <c r="E297" s="72" t="e">
        <f>#REF!</f>
        <v>#REF!</v>
      </c>
      <c r="F297" s="77" t="s">
        <v>301</v>
      </c>
      <c r="G297" s="23"/>
    </row>
    <row r="298" spans="1:7" hidden="1">
      <c r="A298" s="52"/>
      <c r="B298" s="86"/>
      <c r="C298" s="144" t="s">
        <v>303</v>
      </c>
      <c r="D298" s="145"/>
      <c r="E298" s="168">
        <f>E223</f>
        <v>0</v>
      </c>
      <c r="F298" s="77" t="s">
        <v>229</v>
      </c>
      <c r="G298" s="23"/>
    </row>
    <row r="299" spans="1:7" hidden="1">
      <c r="A299" s="52"/>
      <c r="B299" s="86"/>
      <c r="C299" s="144" t="s">
        <v>304</v>
      </c>
      <c r="D299" s="145"/>
      <c r="E299" s="168">
        <f>E224</f>
        <v>0</v>
      </c>
      <c r="F299" s="351" t="s">
        <v>305</v>
      </c>
      <c r="G299" s="23"/>
    </row>
    <row r="300" spans="1:7" hidden="1">
      <c r="A300" s="52"/>
      <c r="B300" s="86"/>
      <c r="C300" s="144" t="s">
        <v>343</v>
      </c>
      <c r="D300" s="145"/>
      <c r="E300" s="168">
        <v>0.4</v>
      </c>
      <c r="F300" s="164"/>
      <c r="G300" s="23"/>
    </row>
    <row r="301" spans="1:7" hidden="1">
      <c r="A301" s="52"/>
      <c r="B301" s="86"/>
      <c r="C301" s="144" t="s">
        <v>344</v>
      </c>
      <c r="D301" s="145"/>
      <c r="E301" s="169">
        <v>2504.64</v>
      </c>
      <c r="F301" s="351" t="s">
        <v>345</v>
      </c>
      <c r="G301" s="23"/>
    </row>
    <row r="302" spans="1:7" hidden="1">
      <c r="A302" s="52"/>
      <c r="B302" s="86"/>
      <c r="C302" s="149" t="s">
        <v>337</v>
      </c>
      <c r="D302" s="145"/>
      <c r="E302" s="76" t="e">
        <f>(E298*E300)/(E301*E299)</f>
        <v>#DIV/0!</v>
      </c>
      <c r="F302" s="77" t="s">
        <v>229</v>
      </c>
      <c r="G302" s="23"/>
    </row>
    <row r="303" spans="1:7" hidden="1">
      <c r="A303" s="52"/>
      <c r="B303" s="86"/>
      <c r="C303" s="149" t="s">
        <v>282</v>
      </c>
      <c r="D303" s="145"/>
      <c r="E303" s="76" t="e">
        <f>E302*E301/12</f>
        <v>#DIV/0!</v>
      </c>
      <c r="F303" s="77" t="s">
        <v>229</v>
      </c>
      <c r="G303" s="23"/>
    </row>
    <row r="304" spans="1:7" hidden="1">
      <c r="A304" s="52"/>
      <c r="B304" s="86"/>
      <c r="C304" s="149" t="s">
        <v>338</v>
      </c>
      <c r="D304" s="145"/>
      <c r="E304" s="76" t="e">
        <f>E303*E297</f>
        <v>#DIV/0!</v>
      </c>
      <c r="F304" s="77" t="s">
        <v>229</v>
      </c>
      <c r="G304" s="23"/>
    </row>
    <row r="305" spans="1:7" hidden="1">
      <c r="A305" s="52"/>
      <c r="B305" s="86"/>
      <c r="C305" s="19"/>
      <c r="D305" s="19"/>
      <c r="E305" s="19"/>
      <c r="F305" s="93"/>
      <c r="G305" s="23"/>
    </row>
    <row r="306" spans="1:7" hidden="1">
      <c r="A306" s="52"/>
      <c r="B306" s="86"/>
      <c r="C306" s="19"/>
      <c r="D306" s="84" t="s">
        <v>534</v>
      </c>
      <c r="E306" s="76" t="e">
        <f>E304+#REF!</f>
        <v>#DIV/0!</v>
      </c>
      <c r="F306" s="77" t="s">
        <v>229</v>
      </c>
      <c r="G306" s="23"/>
    </row>
    <row r="307" spans="1:7" hidden="1">
      <c r="A307" s="52"/>
      <c r="B307" s="86"/>
      <c r="C307" s="19"/>
      <c r="D307" s="344" t="s">
        <v>535</v>
      </c>
      <c r="E307" s="171" t="e">
        <f>E33*E306</f>
        <v>#DIV/0!</v>
      </c>
      <c r="F307" s="77" t="s">
        <v>229</v>
      </c>
      <c r="G307" s="23"/>
    </row>
    <row r="308" spans="1:7" hidden="1">
      <c r="A308" s="52"/>
      <c r="B308" s="86"/>
      <c r="C308" s="19"/>
      <c r="D308" s="19"/>
      <c r="E308" s="19"/>
      <c r="F308" s="93"/>
      <c r="G308" s="23"/>
    </row>
    <row r="309" spans="1:7" hidden="1">
      <c r="A309" s="52"/>
      <c r="B309" s="86"/>
      <c r="C309" s="19"/>
      <c r="D309" s="84" t="s">
        <v>346</v>
      </c>
      <c r="E309" s="76" t="e">
        <f>E306+E293</f>
        <v>#DIV/0!</v>
      </c>
      <c r="F309" s="77" t="s">
        <v>229</v>
      </c>
      <c r="G309" s="23"/>
    </row>
    <row r="310" spans="1:7" hidden="1">
      <c r="A310" s="52"/>
      <c r="B310" s="86"/>
      <c r="C310" s="19"/>
      <c r="D310" s="344" t="s">
        <v>347</v>
      </c>
      <c r="E310" s="171" t="e">
        <f>E307+E294</f>
        <v>#DIV/0!</v>
      </c>
      <c r="F310" s="77" t="s">
        <v>229</v>
      </c>
      <c r="G310" s="23"/>
    </row>
    <row r="311" spans="1:7" hidden="1">
      <c r="A311" s="52"/>
      <c r="B311" s="86"/>
      <c r="C311" s="19"/>
      <c r="D311" s="19"/>
      <c r="E311" s="19"/>
      <c r="F311" s="93"/>
      <c r="G311" s="23"/>
    </row>
    <row r="312" spans="1:7">
      <c r="A312" s="52"/>
      <c r="B312" s="350" t="s">
        <v>348</v>
      </c>
      <c r="C312" s="19"/>
      <c r="D312" s="19"/>
      <c r="E312" s="19"/>
      <c r="F312" s="93"/>
      <c r="G312" s="23"/>
    </row>
    <row r="313" spans="1:7">
      <c r="A313" s="52"/>
      <c r="B313" s="165"/>
      <c r="C313" s="144" t="s">
        <v>325</v>
      </c>
      <c r="D313" s="145"/>
      <c r="E313" s="72">
        <f>E260</f>
        <v>1</v>
      </c>
      <c r="F313" s="77" t="s">
        <v>301</v>
      </c>
      <c r="G313" s="23"/>
    </row>
    <row r="314" spans="1:7">
      <c r="A314" s="52"/>
      <c r="B314" s="86"/>
      <c r="C314" s="149" t="s">
        <v>349</v>
      </c>
      <c r="D314" s="145"/>
      <c r="E314" s="72">
        <v>314.66666666666669</v>
      </c>
      <c r="F314" s="77" t="s">
        <v>229</v>
      </c>
      <c r="G314" s="23"/>
    </row>
    <row r="315" spans="1:7">
      <c r="A315" s="52"/>
      <c r="B315" s="86"/>
      <c r="C315" s="149" t="s">
        <v>350</v>
      </c>
      <c r="D315" s="145"/>
      <c r="E315" s="72">
        <v>230</v>
      </c>
      <c r="F315" s="77" t="s">
        <v>229</v>
      </c>
      <c r="G315" s="23"/>
    </row>
    <row r="316" spans="1:7">
      <c r="A316" s="52"/>
      <c r="B316" s="86"/>
      <c r="C316" s="149" t="s">
        <v>338</v>
      </c>
      <c r="D316" s="145"/>
      <c r="E316" s="76">
        <f>(E313*E315)+E314</f>
        <v>544.66666666666674</v>
      </c>
      <c r="F316" s="77" t="s">
        <v>229</v>
      </c>
      <c r="G316" s="23"/>
    </row>
    <row r="317" spans="1:7">
      <c r="A317" s="52"/>
      <c r="B317" s="86"/>
      <c r="C317" s="149"/>
      <c r="D317" s="145"/>
      <c r="E317" s="253"/>
      <c r="F317" s="77"/>
      <c r="G317" s="23"/>
    </row>
    <row r="318" spans="1:7">
      <c r="A318" s="52"/>
      <c r="B318" s="86"/>
      <c r="C318" s="149"/>
      <c r="D318" s="84" t="s">
        <v>351</v>
      </c>
      <c r="E318" s="76">
        <f>E316</f>
        <v>544.66666666666674</v>
      </c>
      <c r="F318" s="77" t="s">
        <v>229</v>
      </c>
      <c r="G318" s="23"/>
    </row>
    <row r="319" spans="1:7">
      <c r="A319" s="52"/>
      <c r="B319" s="86"/>
      <c r="C319" s="149"/>
      <c r="D319" s="344" t="s">
        <v>352</v>
      </c>
      <c r="E319" s="171">
        <f>E318*E8</f>
        <v>6536.0000000000009</v>
      </c>
      <c r="F319" s="77" t="s">
        <v>229</v>
      </c>
      <c r="G319" s="183"/>
    </row>
    <row r="320" spans="1:7">
      <c r="A320" s="52"/>
      <c r="B320" s="86"/>
      <c r="C320" s="149"/>
      <c r="D320" s="145"/>
      <c r="E320" s="19"/>
      <c r="F320" s="77"/>
      <c r="G320" s="23"/>
    </row>
    <row r="321" spans="1:7">
      <c r="A321" s="34"/>
      <c r="B321" s="86"/>
      <c r="C321" s="16" t="s">
        <v>353</v>
      </c>
      <c r="D321" s="74"/>
      <c r="E321" s="19"/>
      <c r="F321" s="93"/>
      <c r="G321" s="23"/>
    </row>
    <row r="322" spans="1:7">
      <c r="A322" s="52"/>
      <c r="B322" s="143"/>
      <c r="C322" s="17"/>
      <c r="D322" s="344" t="s">
        <v>354</v>
      </c>
      <c r="E322" s="172">
        <f>+E218+E253+E267+E293+E318</f>
        <v>28311.497359999998</v>
      </c>
      <c r="F322" s="77" t="s">
        <v>229</v>
      </c>
      <c r="G322" s="23"/>
    </row>
    <row r="323" spans="1:7" ht="12" thickBot="1">
      <c r="A323" s="52"/>
      <c r="B323" s="174"/>
      <c r="C323" s="25"/>
      <c r="D323" s="353" t="s">
        <v>355</v>
      </c>
      <c r="E323" s="172">
        <f>E8*E322</f>
        <v>339737.96831999999</v>
      </c>
      <c r="F323" s="175" t="s">
        <v>229</v>
      </c>
      <c r="G323" s="29"/>
    </row>
    <row r="324" spans="1:7">
      <c r="B324" s="3"/>
      <c r="D324" s="40"/>
      <c r="F324" s="100"/>
    </row>
    <row r="325" spans="1:7">
      <c r="A325" s="783" t="s">
        <v>356</v>
      </c>
      <c r="B325" s="772"/>
      <c r="C325" s="772"/>
      <c r="D325" s="772"/>
      <c r="E325" s="772"/>
      <c r="F325" s="772"/>
      <c r="G325" s="772"/>
    </row>
    <row r="326" spans="1:7" ht="12" thickBot="1"/>
    <row r="327" spans="1:7">
      <c r="A327" s="52"/>
      <c r="B327" s="349" t="s">
        <v>357</v>
      </c>
      <c r="C327" s="13"/>
      <c r="D327" s="13"/>
      <c r="E327" s="13"/>
      <c r="F327" s="140"/>
      <c r="G327" s="14"/>
    </row>
    <row r="328" spans="1:7">
      <c r="A328" s="52"/>
      <c r="B328" s="86"/>
      <c r="C328" s="19"/>
      <c r="D328" s="19"/>
      <c r="E328" s="19"/>
      <c r="F328" s="93"/>
      <c r="G328" s="23"/>
    </row>
    <row r="329" spans="1:7">
      <c r="A329" s="52"/>
      <c r="B329" s="86"/>
      <c r="C329" s="144" t="s">
        <v>325</v>
      </c>
      <c r="D329" s="145"/>
      <c r="E329" s="72">
        <f>E313</f>
        <v>1</v>
      </c>
      <c r="F329" s="93"/>
      <c r="G329" s="23"/>
    </row>
    <row r="330" spans="1:7">
      <c r="A330" s="52"/>
      <c r="B330" s="86"/>
      <c r="C330" s="354" t="s">
        <v>487</v>
      </c>
      <c r="D330" s="145"/>
      <c r="E330" s="176">
        <v>6.59</v>
      </c>
      <c r="F330" s="77" t="s">
        <v>359</v>
      </c>
      <c r="G330" s="23"/>
    </row>
    <row r="331" spans="1:7">
      <c r="A331" s="52"/>
      <c r="B331" s="86"/>
      <c r="C331" s="144" t="s">
        <v>360</v>
      </c>
      <c r="D331" s="145"/>
      <c r="E331" s="169">
        <f>E10</f>
        <v>5000</v>
      </c>
      <c r="F331" s="77" t="s">
        <v>361</v>
      </c>
      <c r="G331" s="23"/>
    </row>
    <row r="332" spans="1:7" ht="12.75" customHeight="1">
      <c r="A332" s="52"/>
      <c r="B332" s="86"/>
      <c r="C332" s="354" t="s">
        <v>362</v>
      </c>
      <c r="D332" s="145"/>
      <c r="E332" s="72">
        <v>1.8</v>
      </c>
      <c r="F332" s="77" t="s">
        <v>363</v>
      </c>
      <c r="G332" s="23"/>
    </row>
    <row r="333" spans="1:7" ht="12.75" customHeight="1">
      <c r="A333" s="52"/>
      <c r="B333" s="86"/>
      <c r="C333" s="149" t="s">
        <v>337</v>
      </c>
      <c r="D333" s="84"/>
      <c r="E333" s="172">
        <f>(E330*E331)/E332</f>
        <v>18305.555555555555</v>
      </c>
      <c r="F333" s="77" t="s">
        <v>229</v>
      </c>
      <c r="G333" s="23"/>
    </row>
    <row r="334" spans="1:7" ht="12.75" customHeight="1">
      <c r="A334" s="52"/>
      <c r="B334" s="86"/>
      <c r="C334" s="354" t="s">
        <v>364</v>
      </c>
      <c r="D334" s="84"/>
      <c r="E334" s="172">
        <f>E333</f>
        <v>18305.555555555555</v>
      </c>
      <c r="F334" s="77" t="s">
        <v>229</v>
      </c>
      <c r="G334" s="23"/>
    </row>
    <row r="335" spans="1:7" ht="12.75" customHeight="1">
      <c r="A335" s="52"/>
      <c r="B335" s="86"/>
      <c r="C335" s="19"/>
      <c r="D335" s="19"/>
      <c r="E335" s="19"/>
      <c r="F335" s="93"/>
      <c r="G335" s="23"/>
    </row>
    <row r="336" spans="1:7" ht="12.75" hidden="1" customHeight="1">
      <c r="A336" s="52"/>
      <c r="B336" s="86"/>
      <c r="C336" s="144" t="s">
        <v>325</v>
      </c>
      <c r="D336" s="145"/>
      <c r="E336" s="72">
        <v>0</v>
      </c>
      <c r="F336" s="93"/>
      <c r="G336" s="23"/>
    </row>
    <row r="337" spans="1:7" ht="12.75" hidden="1" customHeight="1">
      <c r="A337" s="52"/>
      <c r="B337" s="86"/>
      <c r="C337" s="354" t="s">
        <v>487</v>
      </c>
      <c r="D337" s="145"/>
      <c r="E337" s="176">
        <v>6.14</v>
      </c>
      <c r="F337" s="77" t="s">
        <v>359</v>
      </c>
      <c r="G337" s="23"/>
    </row>
    <row r="338" spans="1:7" ht="12.75" hidden="1" customHeight="1">
      <c r="A338" s="52"/>
      <c r="B338" s="86"/>
      <c r="C338" s="144" t="s">
        <v>360</v>
      </c>
      <c r="D338" s="145"/>
      <c r="E338" s="169">
        <f>E11</f>
        <v>0</v>
      </c>
      <c r="F338" s="77" t="s">
        <v>361</v>
      </c>
      <c r="G338" s="23"/>
    </row>
    <row r="339" spans="1:7" ht="12.75" hidden="1" customHeight="1">
      <c r="A339" s="52"/>
      <c r="B339" s="86"/>
      <c r="C339" s="354" t="s">
        <v>362</v>
      </c>
      <c r="D339" s="145"/>
      <c r="E339" s="72">
        <v>2.4</v>
      </c>
      <c r="F339" s="77" t="s">
        <v>363</v>
      </c>
      <c r="G339" s="23"/>
    </row>
    <row r="340" spans="1:7" ht="12.75" hidden="1" customHeight="1">
      <c r="A340" s="52"/>
      <c r="B340" s="86"/>
      <c r="C340" s="149" t="s">
        <v>337</v>
      </c>
      <c r="D340" s="84"/>
      <c r="E340" s="172">
        <f>(E337*E338)/E339</f>
        <v>0</v>
      </c>
      <c r="F340" s="77" t="s">
        <v>229</v>
      </c>
      <c r="G340" s="23"/>
    </row>
    <row r="341" spans="1:7" ht="12.75" hidden="1" customHeight="1">
      <c r="A341" s="52"/>
      <c r="B341" s="86"/>
      <c r="C341" s="354" t="s">
        <v>364</v>
      </c>
      <c r="D341" s="84"/>
      <c r="E341" s="172">
        <f>E336*E340</f>
        <v>0</v>
      </c>
      <c r="F341" s="77" t="s">
        <v>229</v>
      </c>
      <c r="G341" s="23"/>
    </row>
    <row r="342" spans="1:7" ht="12.75" hidden="1" customHeight="1">
      <c r="A342" s="52"/>
      <c r="B342" s="86"/>
      <c r="C342" s="19"/>
      <c r="D342" s="19"/>
      <c r="E342" s="19"/>
      <c r="F342" s="93"/>
      <c r="G342" s="23"/>
    </row>
    <row r="343" spans="1:7" ht="12.75" customHeight="1">
      <c r="A343" s="52"/>
      <c r="B343" s="86"/>
      <c r="C343" s="19"/>
      <c r="D343" s="84" t="s">
        <v>365</v>
      </c>
      <c r="E343" s="76">
        <f>E334+E341</f>
        <v>18305.555555555555</v>
      </c>
      <c r="F343" s="93"/>
      <c r="G343" s="23"/>
    </row>
    <row r="344" spans="1:7" ht="12.75" customHeight="1">
      <c r="A344" s="52"/>
      <c r="B344" s="86"/>
      <c r="C344" s="19"/>
      <c r="D344" s="344" t="s">
        <v>366</v>
      </c>
      <c r="E344" s="76">
        <f>E8*E343</f>
        <v>219666.66666666666</v>
      </c>
      <c r="F344" s="93"/>
      <c r="G344" s="23"/>
    </row>
    <row r="345" spans="1:7" ht="12.75" customHeight="1">
      <c r="A345" s="52"/>
      <c r="B345" s="86"/>
      <c r="C345" s="19"/>
      <c r="D345" s="344"/>
      <c r="E345" s="344"/>
      <c r="F345" s="93"/>
      <c r="G345" s="23"/>
    </row>
    <row r="346" spans="1:7" ht="12.75" customHeight="1">
      <c r="A346" s="52"/>
      <c r="B346" s="86" t="s">
        <v>494</v>
      </c>
      <c r="C346" s="19"/>
      <c r="D346" s="344"/>
      <c r="E346" s="344"/>
      <c r="F346" s="93"/>
      <c r="G346" s="23"/>
    </row>
    <row r="347" spans="1:7" ht="12.75" customHeight="1">
      <c r="A347" s="52"/>
      <c r="B347" s="86"/>
      <c r="C347" s="144" t="s">
        <v>325</v>
      </c>
      <c r="D347" s="145"/>
      <c r="E347" s="72">
        <f>E329</f>
        <v>1</v>
      </c>
      <c r="F347" s="93"/>
      <c r="G347" s="23"/>
    </row>
    <row r="348" spans="1:7" ht="12.75" customHeight="1">
      <c r="A348" s="52"/>
      <c r="B348" s="86"/>
      <c r="C348" s="354" t="s">
        <v>495</v>
      </c>
      <c r="D348" s="145"/>
      <c r="E348" s="176">
        <f>6*2999.9</f>
        <v>17999.400000000001</v>
      </c>
      <c r="F348" s="77" t="s">
        <v>229</v>
      </c>
      <c r="G348" s="23"/>
    </row>
    <row r="349" spans="1:7" ht="12.75" customHeight="1">
      <c r="A349" s="52"/>
      <c r="B349" s="86"/>
      <c r="C349" s="144" t="s">
        <v>360</v>
      </c>
      <c r="D349" s="145"/>
      <c r="E349" s="169">
        <f>E331+E338</f>
        <v>5000</v>
      </c>
      <c r="F349" s="77" t="s">
        <v>361</v>
      </c>
      <c r="G349" s="23"/>
    </row>
    <row r="350" spans="1:7" ht="12.75" customHeight="1">
      <c r="A350" s="52"/>
      <c r="B350" s="86"/>
      <c r="C350" s="354" t="s">
        <v>496</v>
      </c>
      <c r="D350" s="145"/>
      <c r="E350" s="72">
        <v>40000</v>
      </c>
      <c r="F350" s="77" t="s">
        <v>498</v>
      </c>
      <c r="G350" s="23"/>
    </row>
    <row r="351" spans="1:7" ht="12.75" customHeight="1">
      <c r="A351" s="52"/>
      <c r="B351" s="86"/>
      <c r="C351" s="149" t="s">
        <v>497</v>
      </c>
      <c r="D351" s="84"/>
      <c r="E351" s="172">
        <f>(E348*E349)/E350</f>
        <v>2249.9250000000002</v>
      </c>
      <c r="F351" s="77" t="s">
        <v>229</v>
      </c>
      <c r="G351" s="23"/>
    </row>
    <row r="352" spans="1:7" ht="12.75" customHeight="1">
      <c r="A352" s="52"/>
      <c r="B352" s="86"/>
      <c r="C352" s="354" t="s">
        <v>364</v>
      </c>
      <c r="D352" s="84"/>
      <c r="E352" s="172">
        <f>E347*E351</f>
        <v>2249.9250000000002</v>
      </c>
      <c r="F352" s="77" t="s">
        <v>229</v>
      </c>
      <c r="G352" s="23"/>
    </row>
    <row r="353" spans="1:7" ht="12.75" customHeight="1">
      <c r="A353" s="91"/>
      <c r="B353" s="86"/>
      <c r="C353" s="19"/>
      <c r="D353" s="19"/>
      <c r="E353" s="19"/>
      <c r="F353" s="93"/>
      <c r="G353" s="23"/>
    </row>
    <row r="354" spans="1:7" ht="12.75" customHeight="1">
      <c r="A354" s="91"/>
      <c r="B354" s="86"/>
      <c r="C354" s="19"/>
      <c r="D354" s="84" t="s">
        <v>393</v>
      </c>
      <c r="E354" s="76">
        <f>E352</f>
        <v>2249.9250000000002</v>
      </c>
      <c r="F354" s="93"/>
      <c r="G354" s="23"/>
    </row>
    <row r="355" spans="1:7" ht="12.75" customHeight="1">
      <c r="A355" s="91"/>
      <c r="B355" s="86"/>
      <c r="C355" s="19"/>
      <c r="D355" s="344" t="s">
        <v>394</v>
      </c>
      <c r="E355" s="76">
        <f>E354*E8</f>
        <v>26999.100000000002</v>
      </c>
      <c r="F355" s="93"/>
      <c r="G355" s="23"/>
    </row>
    <row r="356" spans="1:7" ht="12.75" customHeight="1">
      <c r="A356" s="91"/>
      <c r="B356" s="86"/>
      <c r="C356" s="19"/>
      <c r="D356" s="93"/>
      <c r="E356" s="238"/>
      <c r="F356" s="116"/>
      <c r="G356" s="23"/>
    </row>
    <row r="357" spans="1:7" ht="12.75" customHeight="1">
      <c r="A357" s="52"/>
      <c r="B357" s="350" t="s">
        <v>499</v>
      </c>
      <c r="C357" s="19"/>
      <c r="D357" s="19"/>
      <c r="E357" s="19"/>
      <c r="F357" s="93"/>
      <c r="G357" s="23"/>
    </row>
    <row r="358" spans="1:7" ht="12.75" customHeight="1">
      <c r="B358" s="784" t="s">
        <v>367</v>
      </c>
      <c r="C358" s="785"/>
      <c r="D358" s="786"/>
      <c r="E358" s="142">
        <v>0.1</v>
      </c>
      <c r="F358" s="93"/>
      <c r="G358" s="23"/>
    </row>
    <row r="359" spans="1:7" ht="12.75" customHeight="1">
      <c r="B359" s="153"/>
      <c r="C359" s="19"/>
      <c r="D359" s="19"/>
      <c r="E359" s="77"/>
      <c r="F359" s="93"/>
      <c r="G359" s="23"/>
    </row>
    <row r="360" spans="1:7" ht="12.75" customHeight="1">
      <c r="B360" s="153"/>
      <c r="C360" s="144" t="s">
        <v>325</v>
      </c>
      <c r="D360" s="79"/>
      <c r="E360" s="72">
        <v>1</v>
      </c>
      <c r="F360" s="77"/>
      <c r="G360" s="23"/>
    </row>
    <row r="361" spans="1:7" ht="12.75" customHeight="1">
      <c r="B361" s="153"/>
      <c r="C361" s="149" t="s">
        <v>337</v>
      </c>
      <c r="D361" s="79"/>
      <c r="E361" s="76">
        <f>E358*E293</f>
        <v>850.70600000000002</v>
      </c>
      <c r="F361" s="77"/>
      <c r="G361" s="23"/>
    </row>
    <row r="362" spans="1:7" ht="12" customHeight="1">
      <c r="B362" s="153"/>
      <c r="C362" s="354" t="s">
        <v>364</v>
      </c>
      <c r="D362" s="79"/>
      <c r="E362" s="76">
        <f>E361*E360</f>
        <v>850.70600000000002</v>
      </c>
      <c r="F362" s="77"/>
      <c r="G362" s="23"/>
    </row>
    <row r="363" spans="1:7">
      <c r="B363" s="153"/>
      <c r="C363" s="19"/>
      <c r="D363" s="19"/>
      <c r="E363" s="77"/>
      <c r="F363" s="93"/>
      <c r="G363" s="23"/>
    </row>
    <row r="364" spans="1:7">
      <c r="B364" s="153"/>
      <c r="C364" s="354" t="s">
        <v>368</v>
      </c>
      <c r="D364" s="79"/>
      <c r="E364" s="168">
        <v>20</v>
      </c>
      <c r="F364" s="77" t="s">
        <v>369</v>
      </c>
      <c r="G364" s="23"/>
    </row>
    <row r="365" spans="1:7">
      <c r="B365" s="153"/>
      <c r="C365" s="354" t="s">
        <v>370</v>
      </c>
      <c r="D365" s="79"/>
      <c r="E365" s="399">
        <v>17</v>
      </c>
      <c r="F365" s="77" t="s">
        <v>369</v>
      </c>
      <c r="G365" s="23"/>
    </row>
    <row r="366" spans="1:7">
      <c r="B366" s="153"/>
      <c r="C366" s="354" t="s">
        <v>371</v>
      </c>
      <c r="D366" s="79"/>
      <c r="E366" s="168">
        <v>14</v>
      </c>
      <c r="F366" s="77" t="s">
        <v>369</v>
      </c>
      <c r="G366" s="23"/>
    </row>
    <row r="367" spans="1:7">
      <c r="B367" s="153"/>
      <c r="C367" s="354" t="s">
        <v>372</v>
      </c>
      <c r="D367" s="79"/>
      <c r="E367" s="399">
        <v>3.3</v>
      </c>
      <c r="F367" s="77" t="s">
        <v>373</v>
      </c>
      <c r="G367" s="23"/>
    </row>
    <row r="368" spans="1:7">
      <c r="B368" s="153"/>
      <c r="C368" s="144" t="s">
        <v>374</v>
      </c>
      <c r="D368" s="79"/>
      <c r="E368" s="168">
        <v>10000</v>
      </c>
      <c r="F368" s="77" t="s">
        <v>361</v>
      </c>
      <c r="G368" s="23"/>
    </row>
    <row r="369" spans="1:7">
      <c r="B369" s="153"/>
      <c r="C369" s="354" t="s">
        <v>375</v>
      </c>
      <c r="D369" s="79"/>
      <c r="E369" s="177">
        <f>+E364/E368</f>
        <v>2E-3</v>
      </c>
      <c r="F369" s="77" t="s">
        <v>376</v>
      </c>
      <c r="G369" s="23"/>
    </row>
    <row r="370" spans="1:7">
      <c r="B370" s="153"/>
      <c r="C370" s="354" t="s">
        <v>377</v>
      </c>
      <c r="D370" s="79"/>
      <c r="E370" s="177">
        <f>+E365/E368</f>
        <v>1.6999999999999999E-3</v>
      </c>
      <c r="F370" s="77" t="s">
        <v>376</v>
      </c>
      <c r="G370" s="23"/>
    </row>
    <row r="371" spans="1:7">
      <c r="B371" s="153"/>
      <c r="C371" s="354" t="s">
        <v>378</v>
      </c>
      <c r="D371" s="79"/>
      <c r="E371" s="177">
        <f>+E366/E368</f>
        <v>1.4E-3</v>
      </c>
      <c r="F371" s="77" t="s">
        <v>376</v>
      </c>
      <c r="G371" s="23"/>
    </row>
    <row r="372" spans="1:7">
      <c r="B372" s="153"/>
      <c r="C372" s="354" t="s">
        <v>379</v>
      </c>
      <c r="D372" s="79"/>
      <c r="E372" s="177">
        <f>+E367/E368</f>
        <v>3.3E-4</v>
      </c>
      <c r="F372" s="351" t="s">
        <v>380</v>
      </c>
      <c r="G372" s="23"/>
    </row>
    <row r="373" spans="1:7">
      <c r="B373" s="153"/>
      <c r="C373" s="354" t="s">
        <v>381</v>
      </c>
      <c r="D373" s="178"/>
      <c r="E373" s="168">
        <v>21.41</v>
      </c>
      <c r="F373" s="77" t="s">
        <v>359</v>
      </c>
      <c r="G373" s="23"/>
    </row>
    <row r="374" spans="1:7">
      <c r="B374" s="153"/>
      <c r="C374" s="354" t="s">
        <v>382</v>
      </c>
      <c r="D374" s="178"/>
      <c r="E374" s="168">
        <v>19.399999999999999</v>
      </c>
      <c r="F374" s="77" t="s">
        <v>359</v>
      </c>
      <c r="G374" s="23"/>
    </row>
    <row r="375" spans="1:7">
      <c r="B375" s="153"/>
      <c r="C375" s="354" t="s">
        <v>383</v>
      </c>
      <c r="D375" s="178"/>
      <c r="E375" s="168">
        <v>17.91</v>
      </c>
      <c r="F375" s="77" t="s">
        <v>359</v>
      </c>
      <c r="G375" s="23"/>
    </row>
    <row r="376" spans="1:7">
      <c r="B376" s="153"/>
      <c r="C376" s="354" t="s">
        <v>384</v>
      </c>
      <c r="D376" s="178"/>
      <c r="E376" s="168">
        <v>25.8</v>
      </c>
      <c r="F376" s="77" t="s">
        <v>385</v>
      </c>
      <c r="G376" s="23"/>
    </row>
    <row r="377" spans="1:7">
      <c r="B377" s="153"/>
      <c r="C377" s="354" t="s">
        <v>386</v>
      </c>
      <c r="D377" s="79"/>
      <c r="E377" s="163">
        <f>+(E369*E373)+(E370*E374)+(E371*E375)+(E372*E376)</f>
        <v>0.10938800000000001</v>
      </c>
      <c r="F377" s="351" t="s">
        <v>387</v>
      </c>
      <c r="G377" s="23"/>
    </row>
    <row r="378" spans="1:7">
      <c r="A378" s="52"/>
      <c r="B378" s="143"/>
      <c r="C378" s="144" t="s">
        <v>360</v>
      </c>
      <c r="D378" s="22"/>
      <c r="E378" s="169">
        <f>E349</f>
        <v>5000</v>
      </c>
      <c r="F378" s="77" t="s">
        <v>361</v>
      </c>
      <c r="G378" s="23"/>
    </row>
    <row r="379" spans="1:7">
      <c r="A379" s="52"/>
      <c r="B379" s="143"/>
      <c r="C379" s="354" t="s">
        <v>388</v>
      </c>
      <c r="D379" s="79"/>
      <c r="E379" s="172">
        <f>ROUND(+E377*E378,2)</f>
        <v>546.94000000000005</v>
      </c>
      <c r="F379" s="77" t="s">
        <v>229</v>
      </c>
      <c r="G379" s="23"/>
    </row>
    <row r="380" spans="1:7">
      <c r="A380" s="52"/>
      <c r="B380" s="143"/>
      <c r="C380" s="354" t="s">
        <v>389</v>
      </c>
      <c r="D380" s="22"/>
      <c r="E380" s="168">
        <v>10</v>
      </c>
      <c r="F380" s="77" t="s">
        <v>390</v>
      </c>
      <c r="G380" s="23"/>
    </row>
    <row r="381" spans="1:7">
      <c r="A381" s="52"/>
      <c r="B381" s="143"/>
      <c r="C381" s="144" t="s">
        <v>391</v>
      </c>
      <c r="D381" s="22"/>
      <c r="E381" s="172">
        <f>ROUND(+E379*E380/100,2)</f>
        <v>54.69</v>
      </c>
      <c r="F381" s="77" t="s">
        <v>229</v>
      </c>
      <c r="G381" s="23"/>
    </row>
    <row r="382" spans="1:7">
      <c r="A382" s="52"/>
      <c r="B382" s="143"/>
      <c r="C382" s="144" t="s">
        <v>392</v>
      </c>
      <c r="D382" s="22"/>
      <c r="E382" s="172">
        <f>E379+E381</f>
        <v>601.63000000000011</v>
      </c>
      <c r="F382" s="77"/>
      <c r="G382" s="23"/>
    </row>
    <row r="383" spans="1:7">
      <c r="A383" s="52"/>
      <c r="B383" s="143"/>
      <c r="C383" s="354" t="s">
        <v>364</v>
      </c>
      <c r="D383" s="22"/>
      <c r="E383" s="76">
        <f>E382*E360</f>
        <v>601.63000000000011</v>
      </c>
      <c r="F383" s="77"/>
      <c r="G383" s="23"/>
    </row>
    <row r="384" spans="1:7">
      <c r="A384" s="52"/>
      <c r="B384" s="143"/>
      <c r="C384" s="144"/>
      <c r="D384" s="22"/>
      <c r="E384" s="22"/>
      <c r="F384" s="77"/>
      <c r="G384" s="23"/>
    </row>
    <row r="385" spans="1:7">
      <c r="A385" s="52"/>
      <c r="B385" s="143"/>
      <c r="C385" s="19"/>
      <c r="D385" s="84" t="s">
        <v>500</v>
      </c>
      <c r="E385" s="76">
        <f>E361+E383</f>
        <v>1452.3360000000002</v>
      </c>
      <c r="F385" s="77" t="s">
        <v>229</v>
      </c>
      <c r="G385" s="23"/>
    </row>
    <row r="386" spans="1:7">
      <c r="A386" s="52"/>
      <c r="B386" s="143"/>
      <c r="C386" s="19"/>
      <c r="D386" s="344" t="s">
        <v>501</v>
      </c>
      <c r="E386" s="76">
        <f>E8*E385</f>
        <v>17428.032000000003</v>
      </c>
      <c r="F386" s="77" t="s">
        <v>229</v>
      </c>
      <c r="G386" s="23"/>
    </row>
    <row r="387" spans="1:7">
      <c r="A387" s="52"/>
      <c r="B387" s="143"/>
      <c r="C387" s="19"/>
      <c r="D387" s="19"/>
      <c r="E387" s="19"/>
      <c r="F387" s="93"/>
      <c r="G387" s="23"/>
    </row>
    <row r="388" spans="1:7">
      <c r="A388" s="3"/>
      <c r="B388" s="153"/>
      <c r="C388" s="16" t="s">
        <v>395</v>
      </c>
      <c r="D388" s="239"/>
      <c r="E388" s="74"/>
      <c r="F388" s="77"/>
      <c r="G388" s="23"/>
    </row>
    <row r="389" spans="1:7">
      <c r="A389" s="3"/>
      <c r="B389" s="153"/>
      <c r="C389" s="179"/>
      <c r="D389" s="344" t="s">
        <v>486</v>
      </c>
      <c r="E389" s="172">
        <f>E343+E385+E354</f>
        <v>22007.816555555553</v>
      </c>
      <c r="F389" s="77" t="s">
        <v>229</v>
      </c>
      <c r="G389" s="23"/>
    </row>
    <row r="390" spans="1:7">
      <c r="B390" s="86"/>
      <c r="C390" s="180"/>
      <c r="D390" s="344" t="s">
        <v>355</v>
      </c>
      <c r="E390" s="172">
        <f>E8*E389</f>
        <v>264093.79866666661</v>
      </c>
      <c r="F390" s="77" t="s">
        <v>229</v>
      </c>
      <c r="G390" s="23"/>
    </row>
    <row r="391" spans="1:7" ht="12" thickBot="1">
      <c r="A391" s="52"/>
      <c r="B391" s="125"/>
      <c r="C391" s="48"/>
      <c r="D391" s="48"/>
      <c r="E391" s="126"/>
      <c r="F391" s="127"/>
      <c r="G391" s="29"/>
    </row>
    <row r="392" spans="1:7" ht="12" thickBot="1">
      <c r="A392" s="52"/>
      <c r="B392" s="78"/>
      <c r="C392" s="19"/>
      <c r="D392" s="19"/>
      <c r="E392" s="93"/>
      <c r="F392" s="80"/>
      <c r="G392" s="23"/>
    </row>
    <row r="393" spans="1:7">
      <c r="A393" s="52"/>
      <c r="B393" s="78"/>
      <c r="C393" s="128"/>
      <c r="D393" s="129"/>
      <c r="E393" s="129"/>
      <c r="F393" s="130"/>
      <c r="G393" s="23"/>
    </row>
    <row r="394" spans="1:7">
      <c r="A394" s="52"/>
      <c r="B394" s="78"/>
      <c r="C394" s="347" t="s">
        <v>396</v>
      </c>
      <c r="D394" s="132"/>
      <c r="E394" s="76">
        <f>E322+E389</f>
        <v>50319.313915555555</v>
      </c>
      <c r="F394" s="133" t="s">
        <v>229</v>
      </c>
      <c r="G394" s="23"/>
    </row>
    <row r="395" spans="1:7">
      <c r="A395" s="52"/>
      <c r="B395" s="78"/>
      <c r="C395" s="134" t="s">
        <v>397</v>
      </c>
      <c r="D395" s="132"/>
      <c r="E395" s="132"/>
      <c r="F395" s="135"/>
      <c r="G395" s="23"/>
    </row>
    <row r="396" spans="1:7">
      <c r="A396" s="52"/>
      <c r="B396" s="78"/>
      <c r="C396" s="347" t="s">
        <v>398</v>
      </c>
      <c r="D396" s="132"/>
      <c r="E396" s="76">
        <f>E394*E8</f>
        <v>603831.76698666671</v>
      </c>
      <c r="F396" s="133" t="s">
        <v>229</v>
      </c>
      <c r="G396" s="23"/>
    </row>
    <row r="397" spans="1:7" ht="12" thickBot="1">
      <c r="A397" s="52"/>
      <c r="B397" s="78"/>
      <c r="C397" s="136" t="s">
        <v>397</v>
      </c>
      <c r="D397" s="137"/>
      <c r="E397" s="137"/>
      <c r="F397" s="138"/>
      <c r="G397" s="23"/>
    </row>
    <row r="398" spans="1:7" ht="12" thickBot="1">
      <c r="A398" s="52"/>
      <c r="B398" s="125"/>
      <c r="C398" s="48"/>
      <c r="D398" s="48"/>
      <c r="E398" s="126"/>
      <c r="F398" s="127"/>
      <c r="G398" s="29"/>
    </row>
    <row r="399" spans="1:7" ht="12" thickBot="1">
      <c r="A399" s="52"/>
      <c r="B399" s="78"/>
      <c r="C399" s="19"/>
      <c r="D399" s="19"/>
      <c r="E399" s="93"/>
      <c r="F399" s="80"/>
      <c r="G399" s="23"/>
    </row>
    <row r="400" spans="1:7">
      <c r="A400" s="52"/>
      <c r="B400" s="78"/>
      <c r="C400" s="128"/>
      <c r="D400" s="129"/>
      <c r="E400" s="129"/>
      <c r="F400" s="130"/>
      <c r="G400" s="23"/>
    </row>
    <row r="401" spans="1:7">
      <c r="A401" s="52"/>
      <c r="B401" s="86"/>
      <c r="C401" s="347" t="s">
        <v>545</v>
      </c>
      <c r="D401" s="132"/>
      <c r="E401" s="76">
        <f>E138+E191+E394</f>
        <v>73632.806575555558</v>
      </c>
      <c r="F401" s="133" t="s">
        <v>229</v>
      </c>
      <c r="G401" s="112"/>
    </row>
    <row r="402" spans="1:7">
      <c r="B402" s="86"/>
      <c r="C402" s="134" t="s">
        <v>441</v>
      </c>
      <c r="D402" s="132"/>
      <c r="E402" s="132"/>
      <c r="F402" s="135"/>
      <c r="G402" s="23"/>
    </row>
    <row r="403" spans="1:7">
      <c r="A403" s="52"/>
      <c r="B403" s="86"/>
      <c r="C403" s="131" t="s">
        <v>442</v>
      </c>
      <c r="D403" s="132"/>
      <c r="E403" s="76">
        <f>E401*E8</f>
        <v>883593.6789066667</v>
      </c>
      <c r="F403" s="133" t="s">
        <v>229</v>
      </c>
      <c r="G403" s="23"/>
    </row>
    <row r="404" spans="1:7" ht="12" thickBot="1">
      <c r="A404" s="52"/>
      <c r="B404" s="86"/>
      <c r="C404" s="136" t="s">
        <v>443</v>
      </c>
      <c r="D404" s="137"/>
      <c r="E404" s="137"/>
      <c r="F404" s="138"/>
      <c r="G404" s="23"/>
    </row>
    <row r="405" spans="1:7" ht="12" thickBot="1">
      <c r="A405" s="52"/>
      <c r="B405" s="139"/>
      <c r="C405" s="48"/>
      <c r="D405" s="48"/>
      <c r="E405" s="48"/>
      <c r="F405" s="127"/>
      <c r="G405" s="29"/>
    </row>
    <row r="406" spans="1:7" hidden="1">
      <c r="A406" s="52"/>
      <c r="B406" s="52"/>
      <c r="C406" s="3"/>
      <c r="E406" s="181"/>
      <c r="F406" s="115"/>
    </row>
    <row r="407" spans="1:7" ht="13.8" hidden="1">
      <c r="A407" s="757" t="s">
        <v>402</v>
      </c>
      <c r="B407" s="758"/>
      <c r="C407" s="758"/>
      <c r="D407" s="758"/>
      <c r="E407" s="758"/>
      <c r="F407" s="758"/>
      <c r="G407" s="758"/>
    </row>
    <row r="408" spans="1:7" hidden="1">
      <c r="A408" s="34"/>
    </row>
    <row r="409" spans="1:7" hidden="1">
      <c r="A409" s="34"/>
      <c r="B409" s="182"/>
      <c r="C409" s="13"/>
      <c r="D409" s="13"/>
      <c r="E409" s="13"/>
      <c r="F409" s="13"/>
      <c r="G409" s="14"/>
    </row>
    <row r="410" spans="1:7" hidden="1">
      <c r="A410" s="34"/>
      <c r="B410" s="78"/>
      <c r="C410" s="19"/>
      <c r="D410" s="82" t="s">
        <v>223</v>
      </c>
      <c r="E410" s="82" t="s">
        <v>403</v>
      </c>
      <c r="F410" s="82" t="s">
        <v>277</v>
      </c>
      <c r="G410" s="23"/>
    </row>
    <row r="411" spans="1:7" hidden="1">
      <c r="B411" s="78"/>
      <c r="C411" s="79"/>
      <c r="D411" s="108">
        <v>0</v>
      </c>
      <c r="E411" s="71">
        <v>0</v>
      </c>
      <c r="F411" s="71">
        <f>+E411*D411</f>
        <v>0</v>
      </c>
      <c r="G411" s="183"/>
    </row>
    <row r="412" spans="1:7" hidden="1">
      <c r="B412" s="78"/>
      <c r="C412" s="79"/>
      <c r="D412" s="108">
        <v>0</v>
      </c>
      <c r="E412" s="71">
        <v>0</v>
      </c>
      <c r="F412" s="71">
        <f>D412*E412</f>
        <v>0</v>
      </c>
      <c r="G412" s="23"/>
    </row>
    <row r="413" spans="1:7" hidden="1">
      <c r="B413" s="78"/>
      <c r="C413" s="84" t="s">
        <v>404</v>
      </c>
      <c r="D413" s="184">
        <f>SUM(D411:D412)</f>
        <v>0</v>
      </c>
      <c r="E413" s="185"/>
      <c r="F413" s="76">
        <f>SUM(F411:F412)</f>
        <v>0</v>
      </c>
      <c r="G413" s="112" t="s">
        <v>229</v>
      </c>
    </row>
    <row r="414" spans="1:7" hidden="1">
      <c r="B414" s="78"/>
      <c r="C414" s="355" t="s">
        <v>405</v>
      </c>
      <c r="D414" s="186">
        <f>'DADOS DE ENTRADA'!B35</f>
        <v>0.80840000000000001</v>
      </c>
      <c r="E414" s="71">
        <f>F413</f>
        <v>0</v>
      </c>
      <c r="F414" s="71">
        <f>ROUND(D414*E414,2)</f>
        <v>0</v>
      </c>
      <c r="G414" s="23"/>
    </row>
    <row r="415" spans="1:7" hidden="1">
      <c r="B415" s="78"/>
      <c r="C415" s="19"/>
      <c r="D415" s="84"/>
      <c r="E415" s="344" t="s">
        <v>406</v>
      </c>
      <c r="F415" s="76">
        <f>+F414+F413</f>
        <v>0</v>
      </c>
      <c r="G415" s="112" t="s">
        <v>229</v>
      </c>
    </row>
    <row r="416" spans="1:7" hidden="1">
      <c r="B416" s="78"/>
      <c r="C416" s="19"/>
      <c r="D416" s="19"/>
      <c r="E416" s="93"/>
      <c r="F416" s="80"/>
      <c r="G416" s="23"/>
    </row>
    <row r="417" spans="1:7" hidden="1">
      <c r="B417" s="86"/>
      <c r="C417" s="128"/>
      <c r="D417" s="129"/>
      <c r="E417" s="129"/>
      <c r="F417" s="130"/>
      <c r="G417" s="112"/>
    </row>
    <row r="418" spans="1:7" hidden="1">
      <c r="A418" s="52"/>
      <c r="B418" s="86"/>
      <c r="C418" s="347" t="s">
        <v>407</v>
      </c>
      <c r="D418" s="132"/>
      <c r="E418" s="76">
        <f>F415</f>
        <v>0</v>
      </c>
      <c r="F418" s="133" t="s">
        <v>229</v>
      </c>
      <c r="G418" s="23"/>
    </row>
    <row r="419" spans="1:7" hidden="1">
      <c r="A419" s="3"/>
      <c r="B419" s="86"/>
      <c r="C419" s="134" t="s">
        <v>408</v>
      </c>
      <c r="D419" s="132"/>
      <c r="E419" s="132"/>
      <c r="F419" s="135"/>
      <c r="G419" s="23"/>
    </row>
    <row r="420" spans="1:7" hidden="1">
      <c r="A420" s="52"/>
      <c r="B420" s="86"/>
      <c r="C420" s="347" t="s">
        <v>409</v>
      </c>
      <c r="D420" s="132"/>
      <c r="E420" s="76">
        <f>+E418*E8</f>
        <v>0</v>
      </c>
      <c r="F420" s="133" t="s">
        <v>229</v>
      </c>
      <c r="G420" s="23"/>
    </row>
    <row r="421" spans="1:7" ht="12" hidden="1" thickBot="1">
      <c r="A421" s="52"/>
      <c r="B421" s="86"/>
      <c r="C421" s="136" t="s">
        <v>408</v>
      </c>
      <c r="D421" s="137"/>
      <c r="E421" s="137"/>
      <c r="F421" s="138"/>
      <c r="G421" s="112"/>
    </row>
    <row r="422" spans="1:7" ht="12" hidden="1" thickBot="1">
      <c r="A422" s="3"/>
      <c r="B422" s="139"/>
      <c r="C422" s="48"/>
      <c r="D422" s="48"/>
      <c r="E422" s="48"/>
      <c r="F422" s="127"/>
      <c r="G422" s="29"/>
    </row>
    <row r="423" spans="1:7" hidden="1">
      <c r="B423" s="3"/>
      <c r="F423" s="100"/>
    </row>
    <row r="424" spans="1:7" ht="13.8" hidden="1">
      <c r="A424" s="757" t="s">
        <v>410</v>
      </c>
      <c r="B424" s="758"/>
      <c r="C424" s="758"/>
      <c r="D424" s="758"/>
      <c r="E424" s="758"/>
      <c r="F424" s="758"/>
      <c r="G424" s="758"/>
    </row>
    <row r="425" spans="1:7" ht="13.8" hidden="1">
      <c r="A425" s="187"/>
      <c r="B425" s="187"/>
      <c r="C425" s="187"/>
      <c r="D425" s="187"/>
      <c r="E425" s="187"/>
      <c r="F425" s="187"/>
      <c r="G425" s="187"/>
    </row>
    <row r="426" spans="1:7" hidden="1">
      <c r="A426" s="199"/>
      <c r="B426" s="188"/>
      <c r="C426" s="33" t="s">
        <v>166</v>
      </c>
      <c r="D426" s="189"/>
      <c r="E426" s="190"/>
      <c r="F426" s="33" t="s">
        <v>166</v>
      </c>
      <c r="G426" s="14"/>
    </row>
    <row r="427" spans="1:7" hidden="1">
      <c r="A427" s="199"/>
      <c r="B427" s="146" t="s">
        <v>411</v>
      </c>
      <c r="C427" s="191">
        <v>0</v>
      </c>
      <c r="D427" s="77"/>
      <c r="E427" s="192" t="s">
        <v>411</v>
      </c>
      <c r="F427" s="191">
        <v>0</v>
      </c>
      <c r="G427" s="23"/>
    </row>
    <row r="428" spans="1:7" hidden="1">
      <c r="A428" s="199"/>
      <c r="B428" s="146" t="s">
        <v>412</v>
      </c>
      <c r="C428" s="193">
        <v>0</v>
      </c>
      <c r="D428" s="77" t="s">
        <v>229</v>
      </c>
      <c r="E428" s="192" t="s">
        <v>412</v>
      </c>
      <c r="F428" s="193">
        <v>0</v>
      </c>
      <c r="G428" s="194"/>
    </row>
    <row r="429" spans="1:7" hidden="1">
      <c r="A429" s="199"/>
      <c r="B429" s="146" t="s">
        <v>413</v>
      </c>
      <c r="C429" s="195"/>
      <c r="D429" s="77" t="s">
        <v>414</v>
      </c>
      <c r="E429" s="192" t="s">
        <v>413</v>
      </c>
      <c r="F429" s="195"/>
      <c r="G429" s="23"/>
    </row>
    <row r="430" spans="1:7" hidden="1">
      <c r="B430" s="146" t="s">
        <v>415</v>
      </c>
      <c r="C430" s="196"/>
      <c r="D430" s="77" t="s">
        <v>390</v>
      </c>
      <c r="E430" s="192" t="s">
        <v>415</v>
      </c>
      <c r="F430" s="196"/>
      <c r="G430" s="23"/>
    </row>
    <row r="431" spans="1:7" hidden="1">
      <c r="A431" s="91"/>
      <c r="B431" s="146" t="s">
        <v>416</v>
      </c>
      <c r="C431" s="196"/>
      <c r="D431" s="77" t="s">
        <v>390</v>
      </c>
      <c r="E431" s="192" t="s">
        <v>416</v>
      </c>
      <c r="F431" s="196"/>
      <c r="G431" s="23"/>
    </row>
    <row r="432" spans="1:7" hidden="1">
      <c r="B432" s="146" t="s">
        <v>417</v>
      </c>
      <c r="C432" s="196"/>
      <c r="D432" s="77" t="s">
        <v>418</v>
      </c>
      <c r="E432" s="192" t="s">
        <v>417</v>
      </c>
      <c r="F432" s="196"/>
      <c r="G432" s="23"/>
    </row>
    <row r="433" spans="1:7" hidden="1">
      <c r="B433" s="146" t="s">
        <v>419</v>
      </c>
      <c r="C433" s="196"/>
      <c r="D433" s="77" t="s">
        <v>390</v>
      </c>
      <c r="E433" s="192" t="s">
        <v>419</v>
      </c>
      <c r="F433" s="196"/>
      <c r="G433" s="23"/>
    </row>
    <row r="434" spans="1:7" hidden="1">
      <c r="B434" s="146" t="s">
        <v>420</v>
      </c>
      <c r="C434" s="163"/>
      <c r="D434" s="77" t="s">
        <v>387</v>
      </c>
      <c r="E434" s="192" t="s">
        <v>420</v>
      </c>
      <c r="F434" s="163"/>
      <c r="G434" s="23"/>
    </row>
    <row r="435" spans="1:7" hidden="1">
      <c r="B435" s="146" t="s">
        <v>421</v>
      </c>
      <c r="C435" s="191">
        <v>0</v>
      </c>
      <c r="D435" s="77" t="s">
        <v>361</v>
      </c>
      <c r="E435" s="192" t="s">
        <v>421</v>
      </c>
      <c r="F435" s="191">
        <v>0</v>
      </c>
      <c r="G435" s="23"/>
    </row>
    <row r="436" spans="1:7" hidden="1">
      <c r="B436" s="146" t="s">
        <v>422</v>
      </c>
      <c r="C436" s="168">
        <v>0</v>
      </c>
      <c r="D436" s="77" t="s">
        <v>369</v>
      </c>
      <c r="E436" s="192" t="s">
        <v>422</v>
      </c>
      <c r="F436" s="168">
        <v>0</v>
      </c>
      <c r="G436" s="23"/>
    </row>
    <row r="437" spans="1:7" hidden="1">
      <c r="B437" s="146" t="s">
        <v>423</v>
      </c>
      <c r="C437" s="193">
        <v>4</v>
      </c>
      <c r="D437" s="77" t="s">
        <v>359</v>
      </c>
      <c r="E437" s="192" t="s">
        <v>423</v>
      </c>
      <c r="F437" s="193">
        <f>'DADOS DE ENTRADA'!H27</f>
        <v>7.33</v>
      </c>
      <c r="G437" s="23"/>
    </row>
    <row r="438" spans="1:7" hidden="1">
      <c r="B438" s="146" t="s">
        <v>424</v>
      </c>
      <c r="C438" s="168"/>
      <c r="D438" s="77" t="s">
        <v>361</v>
      </c>
      <c r="E438" s="192" t="s">
        <v>424</v>
      </c>
      <c r="F438" s="168"/>
      <c r="G438" s="23"/>
    </row>
    <row r="439" spans="1:7" hidden="1">
      <c r="A439" s="241"/>
      <c r="B439" s="146" t="s">
        <v>425</v>
      </c>
      <c r="C439" s="196"/>
      <c r="D439" s="77" t="s">
        <v>229</v>
      </c>
      <c r="E439" s="192" t="s">
        <v>425</v>
      </c>
      <c r="F439" s="196"/>
      <c r="G439" s="23"/>
    </row>
    <row r="440" spans="1:7" hidden="1">
      <c r="B440" s="146" t="s">
        <v>426</v>
      </c>
      <c r="C440" s="168"/>
      <c r="D440" s="77" t="s">
        <v>229</v>
      </c>
      <c r="E440" s="192" t="s">
        <v>426</v>
      </c>
      <c r="F440" s="168"/>
      <c r="G440" s="23"/>
    </row>
    <row r="441" spans="1:7" hidden="1">
      <c r="B441" s="146" t="s">
        <v>427</v>
      </c>
      <c r="C441" s="168"/>
      <c r="D441" s="77" t="s">
        <v>229</v>
      </c>
      <c r="E441" s="192" t="s">
        <v>427</v>
      </c>
      <c r="F441" s="168"/>
      <c r="G441" s="23"/>
    </row>
    <row r="442" spans="1:7" hidden="1">
      <c r="B442" s="141" t="s">
        <v>428</v>
      </c>
      <c r="C442" s="168">
        <f>+(C427*C428)*(C432/100)/12</f>
        <v>0</v>
      </c>
      <c r="D442" s="77" t="s">
        <v>229</v>
      </c>
      <c r="E442" s="192" t="s">
        <v>429</v>
      </c>
      <c r="F442" s="168">
        <f>+(F427*F428)*(F432/100)/12</f>
        <v>0</v>
      </c>
      <c r="G442" s="23"/>
    </row>
    <row r="443" spans="1:7" hidden="1">
      <c r="B443" s="146" t="s">
        <v>430</v>
      </c>
      <c r="C443" s="168">
        <f>ROUND(+(C427*C428)*(C433/100)/12,2)</f>
        <v>0</v>
      </c>
      <c r="D443" s="77" t="s">
        <v>229</v>
      </c>
      <c r="E443" s="192" t="s">
        <v>431</v>
      </c>
      <c r="F443" s="168">
        <f>ROUND(+(F427*F428)*(F433/100)/12,2)</f>
        <v>0</v>
      </c>
      <c r="G443" s="23"/>
    </row>
    <row r="444" spans="1:7" hidden="1">
      <c r="A444" s="241"/>
      <c r="B444" s="197" t="s">
        <v>432</v>
      </c>
      <c r="C444" s="150">
        <f>C428</f>
        <v>0</v>
      </c>
      <c r="D444" s="77" t="s">
        <v>229</v>
      </c>
      <c r="E444" s="198" t="s">
        <v>432</v>
      </c>
      <c r="F444" s="150">
        <f>F428</f>
        <v>0</v>
      </c>
      <c r="G444" s="23"/>
    </row>
    <row r="445" spans="1:7" hidden="1">
      <c r="B445" s="146" t="s">
        <v>433</v>
      </c>
      <c r="C445" s="168">
        <v>0</v>
      </c>
      <c r="D445" s="77" t="s">
        <v>229</v>
      </c>
      <c r="E445" s="192" t="s">
        <v>433</v>
      </c>
      <c r="F445" s="168">
        <f>F436*F437</f>
        <v>0</v>
      </c>
      <c r="G445" s="23"/>
    </row>
    <row r="446" spans="1:7" hidden="1">
      <c r="B446" s="146" t="s">
        <v>434</v>
      </c>
      <c r="C446" s="168">
        <v>0</v>
      </c>
      <c r="D446" s="77" t="s">
        <v>229</v>
      </c>
      <c r="E446" s="192" t="s">
        <v>434</v>
      </c>
      <c r="F446" s="168">
        <f>ROUND(+F434*F435,2)</f>
        <v>0</v>
      </c>
      <c r="G446" s="23"/>
    </row>
    <row r="447" spans="1:7" hidden="1">
      <c r="B447" s="146" t="s">
        <v>435</v>
      </c>
      <c r="C447" s="168">
        <v>0</v>
      </c>
      <c r="D447" s="77" t="s">
        <v>229</v>
      </c>
      <c r="E447" s="192" t="s">
        <v>435</v>
      </c>
      <c r="F447" s="168"/>
      <c r="G447" s="23"/>
    </row>
    <row r="448" spans="1:7" hidden="1">
      <c r="A448" s="199"/>
      <c r="B448" s="197" t="s">
        <v>436</v>
      </c>
      <c r="C448" s="168">
        <v>0</v>
      </c>
      <c r="D448" s="77" t="s">
        <v>229</v>
      </c>
      <c r="E448" s="198" t="s">
        <v>436</v>
      </c>
      <c r="F448" s="150">
        <f>SUM(F445:F447)</f>
        <v>0</v>
      </c>
      <c r="G448" s="23"/>
    </row>
    <row r="449" spans="1:7" hidden="1">
      <c r="A449" s="199"/>
      <c r="B449" s="350" t="s">
        <v>437</v>
      </c>
      <c r="C449" s="76">
        <f>(+C444+C448)*C427</f>
        <v>0</v>
      </c>
      <c r="D449" s="77" t="s">
        <v>229</v>
      </c>
      <c r="E449" s="77"/>
      <c r="F449" s="76">
        <f>(+F444+F448)*F427</f>
        <v>0</v>
      </c>
      <c r="G449" s="23" t="str">
        <f>D449</f>
        <v>(R$)</v>
      </c>
    </row>
    <row r="450" spans="1:7" hidden="1">
      <c r="A450" s="199"/>
      <c r="B450" s="143"/>
      <c r="C450" s="84"/>
      <c r="D450" s="93"/>
      <c r="E450" s="145"/>
      <c r="F450" s="145"/>
      <c r="G450" s="23"/>
    </row>
    <row r="451" spans="1:7" hidden="1">
      <c r="A451" s="199"/>
      <c r="B451" s="143"/>
      <c r="C451" s="84"/>
      <c r="D451" s="344" t="s">
        <v>438</v>
      </c>
      <c r="E451" s="76">
        <f>C449+F449</f>
        <v>0</v>
      </c>
      <c r="F451" s="145"/>
      <c r="G451" s="23"/>
    </row>
    <row r="452" spans="1:7" hidden="1">
      <c r="A452" s="199"/>
      <c r="B452" s="86"/>
      <c r="C452" s="84"/>
      <c r="D452" s="344" t="s">
        <v>439</v>
      </c>
      <c r="E452" s="76">
        <f>E451*E8</f>
        <v>0</v>
      </c>
      <c r="F452" s="77" t="s">
        <v>229</v>
      </c>
      <c r="G452" s="23"/>
    </row>
    <row r="453" spans="1:7" hidden="1">
      <c r="A453" s="199"/>
      <c r="B453" s="143"/>
      <c r="C453" s="84"/>
      <c r="D453" s="93"/>
      <c r="E453" s="145"/>
      <c r="F453" s="145"/>
      <c r="G453" s="23"/>
    </row>
    <row r="454" spans="1:7" hidden="1">
      <c r="B454" s="86"/>
      <c r="C454" s="128"/>
      <c r="D454" s="129"/>
      <c r="E454" s="129"/>
      <c r="F454" s="130"/>
      <c r="G454" s="23"/>
    </row>
    <row r="455" spans="1:7" hidden="1">
      <c r="B455" s="86"/>
      <c r="C455" s="131" t="s">
        <v>440</v>
      </c>
      <c r="D455" s="132"/>
      <c r="E455" s="76">
        <v>0</v>
      </c>
      <c r="F455" s="133" t="s">
        <v>229</v>
      </c>
      <c r="G455" s="112"/>
    </row>
    <row r="456" spans="1:7" hidden="1">
      <c r="A456" s="52"/>
      <c r="B456" s="86"/>
      <c r="C456" s="134" t="s">
        <v>441</v>
      </c>
      <c r="D456" s="132"/>
      <c r="E456" s="132"/>
      <c r="F456" s="135"/>
      <c r="G456" s="23"/>
    </row>
    <row r="457" spans="1:7" hidden="1">
      <c r="A457" s="52"/>
      <c r="B457" s="86"/>
      <c r="C457" s="131" t="s">
        <v>442</v>
      </c>
      <c r="D457" s="132"/>
      <c r="E457" s="76">
        <f>+E455*E8</f>
        <v>0</v>
      </c>
      <c r="F457" s="133" t="s">
        <v>229</v>
      </c>
      <c r="G457" s="92"/>
    </row>
    <row r="458" spans="1:7" ht="12" hidden="1" thickBot="1">
      <c r="A458" s="3"/>
      <c r="B458" s="86"/>
      <c r="C458" s="136" t="s">
        <v>443</v>
      </c>
      <c r="D458" s="137"/>
      <c r="E458" s="137"/>
      <c r="F458" s="138"/>
      <c r="G458" s="112"/>
    </row>
    <row r="459" spans="1:7" ht="12" hidden="1" thickBot="1">
      <c r="A459" s="52"/>
      <c r="B459" s="139"/>
      <c r="C459" s="26"/>
      <c r="D459" s="48"/>
      <c r="E459" s="126"/>
      <c r="F459" s="126"/>
      <c r="G459" s="29"/>
    </row>
    <row r="460" spans="1:7">
      <c r="A460" s="3"/>
      <c r="B460" s="3"/>
      <c r="C460" s="34"/>
      <c r="E460" s="100"/>
      <c r="F460" s="254"/>
      <c r="G460" s="115"/>
    </row>
    <row r="461" spans="1:7" ht="13.8">
      <c r="A461" s="757" t="s">
        <v>444</v>
      </c>
      <c r="B461" s="758"/>
      <c r="C461" s="758"/>
      <c r="D461" s="758"/>
      <c r="E461" s="758"/>
      <c r="F461" s="758"/>
      <c r="G461" s="758"/>
    </row>
    <row r="462" spans="1:7" ht="12" thickBot="1">
      <c r="A462" s="3"/>
      <c r="D462" s="199"/>
      <c r="F462" s="200"/>
    </row>
    <row r="463" spans="1:7">
      <c r="A463" s="3"/>
      <c r="B463" s="43" t="s">
        <v>445</v>
      </c>
      <c r="C463" s="44"/>
      <c r="D463" s="44"/>
      <c r="E463" s="44"/>
      <c r="F463" s="44"/>
      <c r="G463" s="201"/>
    </row>
    <row r="464" spans="1:7">
      <c r="A464" s="3"/>
      <c r="B464" s="202"/>
      <c r="C464" s="22"/>
      <c r="D464" s="22"/>
      <c r="E464" s="22"/>
      <c r="F464" s="22"/>
      <c r="G464" s="23"/>
    </row>
    <row r="465" spans="1:7">
      <c r="A465" s="3"/>
      <c r="B465" s="202"/>
      <c r="C465" s="22"/>
      <c r="D465" s="22"/>
      <c r="E465" s="22"/>
      <c r="F465" s="22"/>
      <c r="G465" s="23"/>
    </row>
    <row r="466" spans="1:7">
      <c r="A466" s="3"/>
      <c r="B466" s="202"/>
      <c r="C466" s="22"/>
      <c r="D466" s="22"/>
      <c r="E466" s="22"/>
      <c r="F466" s="22"/>
      <c r="G466" s="23"/>
    </row>
    <row r="467" spans="1:7">
      <c r="A467" s="3"/>
      <c r="B467" s="202"/>
      <c r="C467" s="22"/>
      <c r="D467" s="22"/>
      <c r="E467" s="22"/>
      <c r="F467" s="22"/>
      <c r="G467" s="23"/>
    </row>
    <row r="468" spans="1:7" ht="13.5" customHeight="1">
      <c r="A468" s="3"/>
      <c r="B468" s="202"/>
      <c r="C468" s="22"/>
      <c r="D468" s="22"/>
      <c r="E468" s="22"/>
      <c r="F468" s="22"/>
      <c r="G468" s="23"/>
    </row>
    <row r="469" spans="1:7" ht="13.5" customHeight="1">
      <c r="A469" s="3"/>
      <c r="B469" s="202"/>
      <c r="C469" s="22"/>
      <c r="D469" s="22"/>
      <c r="E469" s="22"/>
      <c r="F469" s="22"/>
      <c r="G469" s="23"/>
    </row>
    <row r="470" spans="1:7" ht="13.5" customHeight="1">
      <c r="A470" s="3"/>
      <c r="B470" s="202"/>
      <c r="C470" s="22"/>
      <c r="D470" s="22"/>
      <c r="E470" s="22"/>
      <c r="F470" s="22"/>
      <c r="G470" s="23"/>
    </row>
    <row r="471" spans="1:7" ht="13.5" customHeight="1">
      <c r="A471" s="3"/>
      <c r="B471" s="202"/>
      <c r="C471" s="777" t="s">
        <v>446</v>
      </c>
      <c r="D471" s="203" t="s">
        <v>109</v>
      </c>
      <c r="E471" s="204">
        <v>1.6500000000000001E-2</v>
      </c>
      <c r="F471" s="22"/>
      <c r="G471" s="23"/>
    </row>
    <row r="472" spans="1:7" ht="13.5" customHeight="1">
      <c r="A472" s="3"/>
      <c r="B472" s="202"/>
      <c r="C472" s="778"/>
      <c r="D472" s="203" t="s">
        <v>112</v>
      </c>
      <c r="E472" s="204">
        <v>7.5999999999999998E-2</v>
      </c>
      <c r="F472" s="22"/>
      <c r="G472" s="23"/>
    </row>
    <row r="473" spans="1:7" ht="13.5" customHeight="1">
      <c r="A473" s="3"/>
      <c r="B473" s="202"/>
      <c r="C473" s="778"/>
      <c r="D473" s="203" t="s">
        <v>115</v>
      </c>
      <c r="E473" s="204">
        <v>0.05</v>
      </c>
      <c r="F473" s="22"/>
      <c r="G473" s="23"/>
    </row>
    <row r="474" spans="1:7" ht="13.5" customHeight="1">
      <c r="A474" s="3"/>
      <c r="B474" s="202"/>
      <c r="C474" s="773" t="s">
        <v>447</v>
      </c>
      <c r="D474" s="773"/>
      <c r="E474" s="205">
        <f>SUM(E471:E473)</f>
        <v>0.14250000000000002</v>
      </c>
      <c r="F474" s="22"/>
      <c r="G474" s="23"/>
    </row>
    <row r="475" spans="1:7" ht="13.5" customHeight="1">
      <c r="A475" s="3"/>
      <c r="B475" s="95"/>
      <c r="C475" s="781" t="s">
        <v>448</v>
      </c>
      <c r="D475" s="782"/>
      <c r="E475" s="204">
        <v>3.4299999999999997E-2</v>
      </c>
      <c r="F475" s="22"/>
      <c r="G475" s="23"/>
    </row>
    <row r="476" spans="1:7" ht="13.5" customHeight="1">
      <c r="A476" s="3"/>
      <c r="B476" s="95"/>
      <c r="C476" s="773" t="s">
        <v>449</v>
      </c>
      <c r="D476" s="773"/>
      <c r="E476" s="204">
        <v>0.01</v>
      </c>
      <c r="F476" s="22"/>
      <c r="G476" s="23"/>
    </row>
    <row r="477" spans="1:7" ht="13.5" customHeight="1">
      <c r="A477" s="3"/>
      <c r="B477" s="78"/>
      <c r="C477" s="773" t="s">
        <v>450</v>
      </c>
      <c r="D477" s="773"/>
      <c r="E477" s="204">
        <v>4.8999999999999998E-3</v>
      </c>
      <c r="F477" s="22"/>
      <c r="G477" s="23"/>
    </row>
    <row r="478" spans="1:7" ht="13.5" customHeight="1">
      <c r="A478" s="3"/>
      <c r="B478" s="78"/>
      <c r="C478" s="773" t="s">
        <v>451</v>
      </c>
      <c r="D478" s="773"/>
      <c r="E478" s="204">
        <v>9.4000000000000004E-3</v>
      </c>
      <c r="F478" s="22"/>
      <c r="G478" s="23"/>
    </row>
    <row r="479" spans="1:7" ht="13.5" customHeight="1">
      <c r="A479" s="3"/>
      <c r="B479" s="95"/>
      <c r="C479" s="773" t="s">
        <v>452</v>
      </c>
      <c r="D479" s="773"/>
      <c r="E479" s="204">
        <v>8.5000000000000006E-2</v>
      </c>
      <c r="F479" s="22"/>
      <c r="G479" s="23"/>
    </row>
    <row r="480" spans="1:7" ht="13.5" customHeight="1">
      <c r="A480" s="3"/>
      <c r="B480" s="202"/>
      <c r="C480" s="774" t="s">
        <v>453</v>
      </c>
      <c r="D480" s="774"/>
      <c r="E480" s="255">
        <f>((1+E475+E476+E477)*(1+E478)*(1+E479))/(1-E474)-1</f>
        <v>0.34003823999999994</v>
      </c>
      <c r="F480" s="22"/>
      <c r="G480" s="23"/>
    </row>
    <row r="481" spans="1:7" ht="13.5" customHeight="1" thickBot="1">
      <c r="A481" s="3"/>
      <c r="B481" s="206"/>
      <c r="C481" s="207"/>
      <c r="D481" s="207"/>
      <c r="E481" s="207"/>
      <c r="F481" s="207"/>
      <c r="G481" s="208"/>
    </row>
    <row r="482" spans="1:7" ht="13.5" customHeight="1">
      <c r="A482" s="3"/>
      <c r="B482" s="182"/>
      <c r="C482" s="12"/>
      <c r="D482" s="12"/>
      <c r="E482" s="44"/>
      <c r="F482" s="44"/>
      <c r="G482" s="201"/>
    </row>
    <row r="483" spans="1:7" ht="13.5" customHeight="1">
      <c r="A483" s="52"/>
      <c r="B483" s="95"/>
      <c r="C483" s="19"/>
      <c r="D483" s="17" t="s">
        <v>454</v>
      </c>
      <c r="E483" s="76">
        <f>E401</f>
        <v>73632.806575555558</v>
      </c>
      <c r="F483" s="145" t="s">
        <v>340</v>
      </c>
      <c r="G483" s="23"/>
    </row>
    <row r="484" spans="1:7" ht="13.5" customHeight="1">
      <c r="A484" s="199"/>
      <c r="B484" s="78"/>
      <c r="C484" s="19"/>
      <c r="D484" s="17" t="s">
        <v>455</v>
      </c>
      <c r="E484" s="172">
        <v>70</v>
      </c>
      <c r="F484" s="145" t="s">
        <v>643</v>
      </c>
      <c r="G484" s="23"/>
    </row>
    <row r="485" spans="1:7" ht="13.5" customHeight="1">
      <c r="A485" s="199"/>
      <c r="B485" s="78"/>
      <c r="C485" s="19"/>
      <c r="D485" s="19"/>
      <c r="E485" s="19"/>
      <c r="F485" s="19"/>
      <c r="G485" s="23"/>
    </row>
    <row r="486" spans="1:7" ht="13.5" customHeight="1">
      <c r="A486" s="52"/>
      <c r="B486" s="95"/>
      <c r="C486" s="19"/>
      <c r="D486" s="209" t="s">
        <v>457</v>
      </c>
      <c r="E486" s="76">
        <f>(E483)/E484</f>
        <v>1051.8972367936508</v>
      </c>
      <c r="F486" s="145" t="s">
        <v>644</v>
      </c>
      <c r="G486" s="23"/>
    </row>
    <row r="487" spans="1:7" ht="13.5" customHeight="1">
      <c r="A487" s="199"/>
      <c r="B487" s="78"/>
      <c r="C487" s="19"/>
      <c r="D487" s="56"/>
      <c r="E487" s="56"/>
      <c r="F487" s="145"/>
      <c r="G487" s="23"/>
    </row>
    <row r="488" spans="1:7" ht="13.5" customHeight="1">
      <c r="A488" s="199"/>
      <c r="B488" s="95"/>
      <c r="C488" s="19"/>
      <c r="D488" s="116"/>
      <c r="E488" s="19"/>
      <c r="F488" s="19"/>
      <c r="G488" s="23"/>
    </row>
    <row r="489" spans="1:7">
      <c r="A489" s="199"/>
      <c r="B489" s="78"/>
      <c r="C489" s="17"/>
      <c r="D489" s="210" t="s">
        <v>459</v>
      </c>
      <c r="E489" s="76">
        <f>E486*(1+E480)</f>
        <v>1409.5825218538271</v>
      </c>
      <c r="F489" s="145" t="s">
        <v>644</v>
      </c>
      <c r="G489" s="92"/>
    </row>
    <row r="490" spans="1:7" ht="12" thickBot="1">
      <c r="A490" s="211"/>
      <c r="B490" s="212"/>
      <c r="C490" s="213"/>
      <c r="D490" s="213"/>
      <c r="E490" s="48"/>
      <c r="F490" s="214"/>
      <c r="G490" s="215"/>
    </row>
    <row r="491" spans="1:7">
      <c r="A491" s="211"/>
      <c r="B491" s="211"/>
      <c r="C491" s="211"/>
      <c r="D491" s="216"/>
      <c r="E491" s="115"/>
      <c r="F491" s="217"/>
      <c r="G491" s="218"/>
    </row>
    <row r="492" spans="1:7" ht="12.75" customHeight="1">
      <c r="A492" s="211"/>
      <c r="B492" s="211"/>
      <c r="C492" s="211"/>
      <c r="D492" s="216"/>
      <c r="E492" s="115"/>
      <c r="F492" s="217"/>
      <c r="G492" s="218"/>
    </row>
    <row r="493" spans="1:7">
      <c r="A493" s="211"/>
      <c r="B493" s="211"/>
      <c r="C493" s="211"/>
      <c r="D493" s="216"/>
      <c r="E493" s="115"/>
      <c r="F493" s="217"/>
      <c r="G493" s="218"/>
    </row>
    <row r="494" spans="1:7">
      <c r="A494" s="211"/>
      <c r="B494" s="211"/>
      <c r="C494" s="211"/>
      <c r="D494" s="216"/>
      <c r="E494" s="115"/>
      <c r="F494" s="217"/>
      <c r="G494" s="218"/>
    </row>
    <row r="495" spans="1:7">
      <c r="A495" s="211"/>
      <c r="B495" s="211"/>
      <c r="C495" s="211"/>
      <c r="D495" s="216"/>
      <c r="E495" s="115"/>
      <c r="F495" s="217"/>
      <c r="G495" s="218"/>
    </row>
    <row r="496" spans="1:7">
      <c r="A496" s="211"/>
      <c r="B496" s="211"/>
      <c r="C496" s="211"/>
      <c r="D496" s="216"/>
      <c r="E496" s="115"/>
      <c r="F496" s="217"/>
      <c r="G496" s="218"/>
    </row>
    <row r="497" spans="1:7">
      <c r="A497" s="211"/>
      <c r="B497" s="211"/>
      <c r="C497" s="211"/>
      <c r="D497" s="216"/>
      <c r="E497" s="115"/>
      <c r="F497" s="217"/>
      <c r="G497" s="218"/>
    </row>
    <row r="498" spans="1:7">
      <c r="A498" s="211"/>
      <c r="B498" s="211"/>
      <c r="C498" s="211"/>
      <c r="D498" s="216"/>
      <c r="E498" s="115"/>
      <c r="F498" s="217"/>
      <c r="G498" s="218"/>
    </row>
    <row r="499" spans="1:7">
      <c r="A499" s="211"/>
      <c r="B499" s="211"/>
      <c r="C499" s="211"/>
      <c r="D499" s="216"/>
      <c r="E499" s="115"/>
      <c r="F499" s="217"/>
      <c r="G499" s="218"/>
    </row>
    <row r="500" spans="1:7">
      <c r="A500" s="211"/>
      <c r="B500" s="211"/>
      <c r="C500" s="211"/>
      <c r="D500" s="216"/>
      <c r="E500" s="115"/>
      <c r="F500" s="217"/>
      <c r="G500" s="218"/>
    </row>
    <row r="501" spans="1:7">
      <c r="A501" s="211"/>
      <c r="B501" s="211"/>
      <c r="C501" s="211"/>
      <c r="D501" s="216"/>
      <c r="E501" s="115"/>
      <c r="F501" s="217"/>
      <c r="G501" s="218"/>
    </row>
    <row r="502" spans="1:7">
      <c r="A502" s="211"/>
      <c r="B502" s="211"/>
      <c r="C502" s="211"/>
      <c r="D502" s="216"/>
      <c r="E502" s="115"/>
      <c r="F502" s="217"/>
      <c r="G502" s="218"/>
    </row>
    <row r="503" spans="1:7">
      <c r="A503" s="211"/>
      <c r="B503" s="211"/>
      <c r="C503" s="211"/>
      <c r="D503" s="216"/>
      <c r="E503" s="115"/>
      <c r="F503" s="217"/>
      <c r="G503" s="218"/>
    </row>
    <row r="504" spans="1:7">
      <c r="A504" s="211"/>
      <c r="B504" s="211"/>
      <c r="C504" s="211"/>
      <c r="D504" s="216"/>
      <c r="E504" s="115"/>
      <c r="F504" s="217"/>
      <c r="G504" s="218"/>
    </row>
    <row r="505" spans="1:7">
      <c r="A505" s="211"/>
      <c r="B505" s="211"/>
      <c r="C505" s="211"/>
      <c r="D505" s="216"/>
      <c r="E505" s="115"/>
      <c r="F505" s="217"/>
      <c r="G505" s="218"/>
    </row>
    <row r="506" spans="1:7">
      <c r="A506" s="211"/>
      <c r="B506" s="211"/>
      <c r="C506" s="211"/>
      <c r="D506" s="216"/>
      <c r="E506" s="115"/>
      <c r="F506" s="217"/>
      <c r="G506" s="218"/>
    </row>
    <row r="507" spans="1:7">
      <c r="A507" s="211"/>
      <c r="B507" s="211"/>
      <c r="C507" s="211"/>
      <c r="D507" s="216"/>
      <c r="E507" s="115"/>
      <c r="F507" s="217"/>
      <c r="G507" s="218"/>
    </row>
    <row r="508" spans="1:7">
      <c r="A508" s="211"/>
      <c r="B508" s="211"/>
      <c r="C508" s="211"/>
      <c r="D508" s="216"/>
      <c r="E508" s="115"/>
      <c r="F508" s="217"/>
      <c r="G508" s="218"/>
    </row>
    <row r="509" spans="1:7">
      <c r="A509" s="211"/>
      <c r="B509" s="211"/>
      <c r="C509" s="211"/>
      <c r="D509" s="216"/>
      <c r="E509" s="115"/>
      <c r="F509" s="217"/>
      <c r="G509" s="218"/>
    </row>
    <row r="510" spans="1:7">
      <c r="A510" s="211"/>
      <c r="B510" s="211"/>
      <c r="C510" s="211"/>
      <c r="D510" s="216"/>
      <c r="E510" s="115"/>
      <c r="F510" s="217"/>
      <c r="G510" s="218"/>
    </row>
    <row r="511" spans="1:7">
      <c r="A511" s="211"/>
      <c r="B511" s="211"/>
      <c r="C511" s="211"/>
      <c r="D511" s="216"/>
      <c r="E511" s="115"/>
      <c r="F511" s="217"/>
      <c r="G511" s="218"/>
    </row>
    <row r="512" spans="1:7">
      <c r="A512" s="211"/>
      <c r="B512" s="211"/>
      <c r="C512" s="211"/>
      <c r="D512" s="216"/>
      <c r="E512" s="115"/>
      <c r="F512" s="217"/>
      <c r="G512" s="218"/>
    </row>
    <row r="513" spans="1:7">
      <c r="A513" s="211"/>
      <c r="B513" s="211"/>
      <c r="C513" s="211"/>
      <c r="D513" s="216"/>
      <c r="E513" s="115"/>
      <c r="F513" s="217"/>
      <c r="G513" s="218"/>
    </row>
    <row r="514" spans="1:7">
      <c r="A514" s="211"/>
      <c r="B514" s="211"/>
      <c r="C514" s="211"/>
      <c r="D514" s="216"/>
      <c r="E514" s="115"/>
      <c r="F514" s="217"/>
      <c r="G514" s="218"/>
    </row>
    <row r="515" spans="1:7">
      <c r="A515" s="211"/>
      <c r="B515" s="211"/>
      <c r="C515" s="211"/>
      <c r="D515" s="216"/>
      <c r="E515" s="115"/>
      <c r="F515" s="217"/>
      <c r="G515" s="218"/>
    </row>
    <row r="516" spans="1:7">
      <c r="A516" s="211"/>
      <c r="B516" s="211"/>
      <c r="C516" s="211"/>
      <c r="D516" s="216"/>
      <c r="E516" s="115"/>
      <c r="F516" s="217"/>
      <c r="G516" s="218"/>
    </row>
    <row r="517" spans="1:7">
      <c r="A517" s="211"/>
      <c r="B517" s="211"/>
      <c r="C517" s="211"/>
      <c r="D517" s="216"/>
      <c r="E517" s="115"/>
      <c r="F517" s="217"/>
      <c r="G517" s="218"/>
    </row>
    <row r="518" spans="1:7">
      <c r="A518" s="211"/>
      <c r="B518" s="211"/>
      <c r="C518" s="211"/>
      <c r="D518" s="216"/>
      <c r="E518" s="115"/>
      <c r="F518" s="217"/>
      <c r="G518" s="218"/>
    </row>
    <row r="519" spans="1:7">
      <c r="A519" s="211"/>
      <c r="B519" s="211"/>
      <c r="C519" s="211"/>
      <c r="D519" s="216"/>
      <c r="E519" s="115"/>
      <c r="F519" s="217"/>
      <c r="G519" s="218"/>
    </row>
    <row r="520" spans="1:7">
      <c r="A520" s="211"/>
      <c r="B520" s="211"/>
      <c r="C520" s="211"/>
      <c r="D520" s="216"/>
      <c r="E520" s="115"/>
      <c r="F520" s="217"/>
      <c r="G520" s="218"/>
    </row>
    <row r="521" spans="1:7">
      <c r="A521" s="211"/>
      <c r="B521" s="211"/>
      <c r="C521" s="211"/>
      <c r="D521" s="216"/>
      <c r="E521" s="115"/>
      <c r="F521" s="217"/>
      <c r="G521" s="218"/>
    </row>
    <row r="522" spans="1:7">
      <c r="A522" s="211"/>
      <c r="B522" s="211"/>
      <c r="C522" s="211"/>
      <c r="D522" s="216"/>
      <c r="E522" s="115"/>
      <c r="F522" s="217"/>
      <c r="G522" s="218"/>
    </row>
    <row r="523" spans="1:7">
      <c r="A523" s="211"/>
      <c r="B523" s="211"/>
      <c r="C523" s="211"/>
      <c r="D523" s="216"/>
      <c r="E523" s="115"/>
      <c r="F523" s="217"/>
      <c r="G523" s="218"/>
    </row>
    <row r="524" spans="1:7">
      <c r="A524" s="211"/>
      <c r="B524" s="211"/>
      <c r="C524" s="211"/>
      <c r="D524" s="216"/>
      <c r="E524" s="115"/>
      <c r="F524" s="217"/>
      <c r="G524" s="218"/>
    </row>
    <row r="525" spans="1:7">
      <c r="A525" s="211"/>
      <c r="B525" s="211"/>
      <c r="C525" s="211"/>
      <c r="D525" s="216"/>
      <c r="E525" s="115"/>
      <c r="F525" s="217"/>
      <c r="G525" s="218"/>
    </row>
    <row r="526" spans="1:7">
      <c r="A526" s="211"/>
      <c r="B526" s="211"/>
      <c r="C526" s="211"/>
      <c r="D526" s="216"/>
      <c r="E526" s="115"/>
      <c r="F526" s="217"/>
      <c r="G526" s="218"/>
    </row>
    <row r="527" spans="1:7">
      <c r="A527" s="211"/>
      <c r="B527" s="211"/>
      <c r="C527" s="211"/>
      <c r="D527" s="216"/>
      <c r="E527" s="115"/>
      <c r="F527" s="217"/>
      <c r="G527" s="218"/>
    </row>
    <row r="528" spans="1:7">
      <c r="A528" s="211"/>
      <c r="B528" s="211"/>
      <c r="C528" s="211"/>
      <c r="D528" s="216"/>
      <c r="E528" s="115"/>
      <c r="F528" s="217"/>
      <c r="G528" s="218"/>
    </row>
    <row r="529" spans="1:7">
      <c r="A529" s="211"/>
      <c r="B529" s="211"/>
      <c r="C529" s="211"/>
      <c r="D529" s="216"/>
      <c r="E529" s="115"/>
      <c r="F529" s="217"/>
      <c r="G529" s="218"/>
    </row>
    <row r="530" spans="1:7">
      <c r="A530" s="211"/>
      <c r="B530" s="211"/>
      <c r="C530" s="211"/>
      <c r="D530" s="216"/>
      <c r="E530" s="115"/>
      <c r="F530" s="217"/>
      <c r="G530" s="218"/>
    </row>
    <row r="531" spans="1:7">
      <c r="A531" s="211"/>
      <c r="B531" s="211"/>
      <c r="C531" s="211"/>
      <c r="D531" s="216"/>
      <c r="E531" s="115"/>
      <c r="F531" s="217"/>
      <c r="G531" s="218"/>
    </row>
    <row r="532" spans="1:7">
      <c r="A532" s="211"/>
      <c r="B532" s="211"/>
      <c r="C532" s="211"/>
      <c r="D532" s="216"/>
      <c r="E532" s="115"/>
      <c r="F532" s="217"/>
      <c r="G532" s="218"/>
    </row>
    <row r="533" spans="1:7">
      <c r="A533" s="211"/>
      <c r="B533" s="211"/>
      <c r="C533" s="211"/>
      <c r="D533" s="216"/>
      <c r="E533" s="115"/>
      <c r="F533" s="217"/>
      <c r="G533" s="218"/>
    </row>
    <row r="534" spans="1:7">
      <c r="A534" s="211"/>
      <c r="B534" s="211"/>
      <c r="C534" s="211"/>
      <c r="D534" s="216"/>
      <c r="E534" s="115"/>
      <c r="F534" s="217"/>
      <c r="G534" s="218"/>
    </row>
    <row r="535" spans="1:7">
      <c r="A535" s="211"/>
      <c r="B535" s="211"/>
      <c r="C535" s="211"/>
      <c r="D535" s="216"/>
      <c r="E535" s="115"/>
      <c r="F535" s="217"/>
      <c r="G535" s="218"/>
    </row>
    <row r="536" spans="1:7">
      <c r="A536" s="211"/>
      <c r="B536" s="211"/>
      <c r="C536" s="211"/>
      <c r="D536" s="216"/>
      <c r="E536" s="115"/>
      <c r="F536" s="217"/>
      <c r="G536" s="218"/>
    </row>
    <row r="537" spans="1:7">
      <c r="A537" s="211"/>
      <c r="B537" s="211"/>
      <c r="C537" s="211"/>
      <c r="D537" s="216"/>
      <c r="E537" s="115"/>
      <c r="F537" s="217"/>
      <c r="G537" s="218"/>
    </row>
    <row r="538" spans="1:7">
      <c r="A538" s="211"/>
      <c r="B538" s="211"/>
      <c r="C538" s="211"/>
      <c r="D538" s="216"/>
      <c r="E538" s="115"/>
      <c r="F538" s="217"/>
      <c r="G538" s="218"/>
    </row>
    <row r="539" spans="1:7">
      <c r="A539" s="211"/>
      <c r="B539" s="211"/>
      <c r="C539" s="211"/>
      <c r="D539" s="216"/>
      <c r="E539" s="115"/>
      <c r="F539" s="217"/>
      <c r="G539" s="218"/>
    </row>
    <row r="540" spans="1:7">
      <c r="A540" s="211"/>
      <c r="B540" s="211"/>
      <c r="C540" s="211"/>
      <c r="D540" s="216"/>
      <c r="E540" s="115"/>
      <c r="F540" s="217"/>
      <c r="G540" s="218"/>
    </row>
    <row r="541" spans="1:7">
      <c r="A541" s="211"/>
      <c r="B541" s="211"/>
      <c r="C541" s="211"/>
      <c r="D541" s="216"/>
      <c r="E541" s="115"/>
      <c r="F541" s="217"/>
      <c r="G541" s="218"/>
    </row>
    <row r="542" spans="1:7">
      <c r="A542" s="211"/>
      <c r="B542" s="211"/>
      <c r="C542" s="211"/>
      <c r="D542" s="216"/>
      <c r="E542" s="115"/>
      <c r="F542" s="217"/>
      <c r="G542" s="218"/>
    </row>
    <row r="543" spans="1:7">
      <c r="A543" s="211"/>
      <c r="B543" s="211"/>
      <c r="C543" s="211"/>
      <c r="D543" s="216"/>
      <c r="E543" s="115"/>
      <c r="F543" s="217"/>
      <c r="G543" s="218"/>
    </row>
    <row r="544" spans="1:7">
      <c r="A544" s="211"/>
      <c r="B544" s="211"/>
      <c r="C544" s="211"/>
      <c r="D544" s="216"/>
      <c r="E544" s="115"/>
      <c r="F544" s="217"/>
      <c r="G544" s="218"/>
    </row>
    <row r="545" spans="1:7">
      <c r="A545" s="211"/>
      <c r="B545" s="211"/>
      <c r="C545" s="211"/>
      <c r="D545" s="216"/>
      <c r="E545" s="115"/>
      <c r="F545" s="217"/>
      <c r="G545" s="218"/>
    </row>
    <row r="546" spans="1:7">
      <c r="A546" s="211"/>
      <c r="B546" s="211"/>
      <c r="C546" s="211"/>
      <c r="D546" s="216"/>
      <c r="E546" s="115"/>
      <c r="F546" s="217"/>
      <c r="G546" s="218"/>
    </row>
    <row r="547" spans="1:7">
      <c r="A547" s="211"/>
      <c r="B547" s="211"/>
      <c r="C547" s="211"/>
      <c r="D547" s="216"/>
      <c r="E547" s="115"/>
      <c r="F547" s="217"/>
      <c r="G547" s="218"/>
    </row>
    <row r="548" spans="1:7">
      <c r="A548" s="211"/>
      <c r="B548" s="211"/>
      <c r="C548" s="211"/>
      <c r="D548" s="216"/>
      <c r="E548" s="115"/>
      <c r="F548" s="217"/>
      <c r="G548" s="218"/>
    </row>
    <row r="549" spans="1:7">
      <c r="A549" s="211"/>
      <c r="B549" s="211"/>
      <c r="C549" s="211"/>
      <c r="D549" s="216"/>
      <c r="E549" s="115"/>
      <c r="F549" s="217"/>
      <c r="G549" s="218"/>
    </row>
    <row r="550" spans="1:7">
      <c r="A550" s="211"/>
      <c r="B550" s="211"/>
      <c r="C550" s="211"/>
      <c r="D550" s="216"/>
      <c r="E550" s="115"/>
      <c r="F550" s="217"/>
      <c r="G550" s="218"/>
    </row>
    <row r="551" spans="1:7">
      <c r="A551" s="211"/>
      <c r="B551" s="211"/>
      <c r="C551" s="211"/>
      <c r="D551" s="216"/>
      <c r="E551" s="115"/>
      <c r="F551" s="217"/>
      <c r="G551" s="218"/>
    </row>
    <row r="552" spans="1:7">
      <c r="A552" s="211"/>
      <c r="B552" s="211"/>
      <c r="C552" s="211"/>
      <c r="D552" s="216"/>
      <c r="E552" s="115"/>
      <c r="F552" s="217"/>
      <c r="G552" s="218"/>
    </row>
    <row r="553" spans="1:7">
      <c r="A553" s="211"/>
      <c r="B553" s="211"/>
      <c r="C553" s="211"/>
      <c r="D553" s="216"/>
      <c r="E553" s="115"/>
      <c r="F553" s="217"/>
      <c r="G553" s="218"/>
    </row>
    <row r="554" spans="1:7">
      <c r="A554" s="211"/>
      <c r="B554" s="211"/>
      <c r="C554" s="211"/>
      <c r="D554" s="216"/>
      <c r="E554" s="115"/>
      <c r="F554" s="217"/>
      <c r="G554" s="218"/>
    </row>
    <row r="555" spans="1:7">
      <c r="A555" s="211"/>
      <c r="B555" s="211"/>
      <c r="C555" s="211"/>
      <c r="D555" s="216"/>
      <c r="E555" s="115"/>
      <c r="F555" s="217"/>
      <c r="G555" s="218"/>
    </row>
    <row r="556" spans="1:7">
      <c r="A556" s="211"/>
      <c r="B556" s="211"/>
      <c r="C556" s="211"/>
      <c r="D556" s="216"/>
      <c r="E556" s="115"/>
      <c r="F556" s="217"/>
      <c r="G556" s="218"/>
    </row>
    <row r="557" spans="1:7">
      <c r="A557" s="211"/>
      <c r="B557" s="211"/>
      <c r="C557" s="211"/>
      <c r="D557" s="216"/>
      <c r="E557" s="115"/>
      <c r="F557" s="217"/>
      <c r="G557" s="218"/>
    </row>
    <row r="558" spans="1:7">
      <c r="A558" s="211"/>
      <c r="B558" s="211"/>
      <c r="C558" s="211"/>
      <c r="D558" s="216"/>
      <c r="E558" s="115"/>
      <c r="F558" s="217"/>
      <c r="G558" s="218"/>
    </row>
    <row r="559" spans="1:7">
      <c r="A559" s="211"/>
      <c r="B559" s="211"/>
      <c r="C559" s="211"/>
      <c r="D559" s="216"/>
      <c r="E559" s="115"/>
      <c r="F559" s="217"/>
      <c r="G559" s="218"/>
    </row>
    <row r="560" spans="1:7">
      <c r="A560" s="211"/>
      <c r="B560" s="211"/>
      <c r="C560" s="211"/>
      <c r="D560" s="216"/>
      <c r="E560" s="115"/>
      <c r="F560" s="217"/>
      <c r="G560" s="218"/>
    </row>
    <row r="561" spans="1:7">
      <c r="A561" s="211"/>
      <c r="B561" s="211"/>
      <c r="C561" s="211"/>
      <c r="D561" s="216"/>
      <c r="E561" s="115"/>
      <c r="F561" s="217"/>
      <c r="G561" s="218"/>
    </row>
    <row r="562" spans="1:7">
      <c r="A562" s="211"/>
      <c r="B562" s="211"/>
      <c r="C562" s="211"/>
      <c r="D562" s="216"/>
      <c r="E562" s="115"/>
      <c r="F562" s="217"/>
      <c r="G562" s="218"/>
    </row>
    <row r="563" spans="1:7">
      <c r="A563" s="211"/>
      <c r="B563" s="211"/>
      <c r="C563" s="211"/>
      <c r="D563" s="216"/>
      <c r="E563" s="115"/>
      <c r="F563" s="217"/>
      <c r="G563" s="218"/>
    </row>
    <row r="564" spans="1:7">
      <c r="A564" s="211"/>
      <c r="B564" s="211"/>
      <c r="C564" s="211"/>
      <c r="D564" s="216"/>
      <c r="E564" s="115"/>
      <c r="F564" s="217"/>
      <c r="G564" s="218"/>
    </row>
    <row r="565" spans="1:7">
      <c r="A565" s="211"/>
      <c r="B565" s="211"/>
      <c r="C565" s="211"/>
      <c r="D565" s="216"/>
      <c r="E565" s="115"/>
      <c r="F565" s="217"/>
      <c r="G565" s="218"/>
    </row>
    <row r="566" spans="1:7">
      <c r="A566" s="211"/>
      <c r="B566" s="211"/>
      <c r="C566" s="211"/>
      <c r="D566" s="216"/>
      <c r="E566" s="115"/>
      <c r="F566" s="217"/>
      <c r="G566" s="218"/>
    </row>
    <row r="567" spans="1:7">
      <c r="A567" s="211"/>
      <c r="B567" s="211"/>
      <c r="C567" s="211"/>
      <c r="D567" s="216"/>
      <c r="E567" s="115"/>
      <c r="F567" s="217"/>
      <c r="G567" s="218"/>
    </row>
    <row r="568" spans="1:7">
      <c r="A568" s="211"/>
      <c r="B568" s="211"/>
      <c r="C568" s="211"/>
      <c r="D568" s="216"/>
      <c r="E568" s="115"/>
      <c r="F568" s="217"/>
      <c r="G568" s="218"/>
    </row>
    <row r="569" spans="1:7">
      <c r="A569" s="211"/>
      <c r="B569" s="211"/>
      <c r="C569" s="211"/>
      <c r="D569" s="216"/>
      <c r="E569" s="115"/>
      <c r="F569" s="217"/>
      <c r="G569" s="218"/>
    </row>
    <row r="570" spans="1:7">
      <c r="A570" s="211"/>
      <c r="B570" s="211"/>
      <c r="C570" s="211"/>
      <c r="D570" s="216"/>
      <c r="E570" s="115"/>
      <c r="F570" s="217"/>
      <c r="G570" s="218"/>
    </row>
    <row r="571" spans="1:7">
      <c r="A571" s="211"/>
      <c r="B571" s="211"/>
      <c r="C571" s="211"/>
      <c r="D571" s="216"/>
      <c r="E571" s="115"/>
      <c r="F571" s="217"/>
      <c r="G571" s="218"/>
    </row>
    <row r="572" spans="1:7">
      <c r="A572" s="211"/>
      <c r="B572" s="211"/>
      <c r="C572" s="211"/>
      <c r="D572" s="216"/>
      <c r="E572" s="115"/>
      <c r="F572" s="217"/>
      <c r="G572" s="218"/>
    </row>
    <row r="573" spans="1:7">
      <c r="A573" s="211"/>
      <c r="B573" s="211"/>
      <c r="C573" s="211"/>
      <c r="D573" s="216"/>
      <c r="E573" s="115"/>
      <c r="F573" s="217"/>
      <c r="G573" s="218"/>
    </row>
    <row r="574" spans="1:7">
      <c r="A574" s="211"/>
      <c r="B574" s="211"/>
      <c r="C574" s="211"/>
      <c r="D574" s="216"/>
      <c r="E574" s="115"/>
      <c r="F574" s="217"/>
      <c r="G574" s="218"/>
    </row>
    <row r="575" spans="1:7">
      <c r="A575" s="211"/>
      <c r="B575" s="211"/>
      <c r="C575" s="211"/>
      <c r="D575" s="216"/>
      <c r="E575" s="115"/>
      <c r="F575" s="217"/>
      <c r="G575" s="218"/>
    </row>
    <row r="576" spans="1:7">
      <c r="A576" s="211"/>
      <c r="B576" s="211"/>
      <c r="C576" s="211"/>
      <c r="D576" s="216"/>
      <c r="E576" s="115"/>
      <c r="F576" s="217"/>
      <c r="G576" s="218"/>
    </row>
    <row r="577" spans="1:7">
      <c r="A577" s="211"/>
      <c r="B577" s="211"/>
      <c r="C577" s="211"/>
      <c r="D577" s="216"/>
      <c r="E577" s="115"/>
      <c r="F577" s="217"/>
      <c r="G577" s="218"/>
    </row>
    <row r="578" spans="1:7">
      <c r="A578" s="211"/>
      <c r="B578" s="211"/>
      <c r="C578" s="211"/>
      <c r="D578" s="216"/>
      <c r="E578" s="115"/>
      <c r="F578" s="217"/>
      <c r="G578" s="218"/>
    </row>
    <row r="579" spans="1:7">
      <c r="A579" s="211"/>
      <c r="B579" s="211"/>
      <c r="C579" s="211"/>
      <c r="D579" s="216"/>
      <c r="E579" s="115"/>
      <c r="F579" s="217"/>
      <c r="G579" s="218"/>
    </row>
    <row r="580" spans="1:7">
      <c r="A580" s="211"/>
      <c r="B580" s="211"/>
      <c r="C580" s="211"/>
      <c r="D580" s="216"/>
      <c r="E580" s="115"/>
      <c r="F580" s="217"/>
      <c r="G580" s="218"/>
    </row>
    <row r="581" spans="1:7">
      <c r="A581" s="211"/>
      <c r="B581" s="211"/>
      <c r="C581" s="211"/>
      <c r="D581" s="216"/>
      <c r="E581" s="115"/>
      <c r="F581" s="217"/>
      <c r="G581" s="218"/>
    </row>
    <row r="582" spans="1:7">
      <c r="A582" s="211"/>
      <c r="B582" s="211"/>
      <c r="C582" s="211"/>
      <c r="D582" s="216"/>
      <c r="E582" s="115"/>
      <c r="F582" s="217"/>
      <c r="G582" s="218"/>
    </row>
    <row r="583" spans="1:7">
      <c r="A583" s="211"/>
      <c r="B583" s="211"/>
      <c r="C583" s="211"/>
      <c r="D583" s="216"/>
      <c r="E583" s="115"/>
      <c r="F583" s="217"/>
      <c r="G583" s="218"/>
    </row>
    <row r="584" spans="1:7">
      <c r="A584" s="211"/>
      <c r="B584" s="211"/>
      <c r="C584" s="211"/>
      <c r="D584" s="216"/>
      <c r="E584" s="115"/>
      <c r="F584" s="217"/>
      <c r="G584" s="218"/>
    </row>
    <row r="585" spans="1:7">
      <c r="A585" s="211"/>
      <c r="B585" s="211"/>
      <c r="C585" s="211"/>
      <c r="D585" s="216"/>
      <c r="E585" s="115"/>
      <c r="F585" s="217"/>
      <c r="G585" s="218"/>
    </row>
    <row r="586" spans="1:7">
      <c r="A586" s="211"/>
      <c r="B586" s="211"/>
      <c r="C586" s="211"/>
      <c r="D586" s="216"/>
      <c r="E586" s="115"/>
      <c r="F586" s="217"/>
      <c r="G586" s="218"/>
    </row>
    <row r="587" spans="1:7">
      <c r="A587" s="211"/>
      <c r="B587" s="211"/>
      <c r="C587" s="211"/>
      <c r="D587" s="216"/>
      <c r="E587" s="115"/>
      <c r="F587" s="217"/>
      <c r="G587" s="218"/>
    </row>
    <row r="588" spans="1:7">
      <c r="B588" s="102"/>
      <c r="E588" s="3"/>
      <c r="F588" s="3"/>
    </row>
    <row r="589" spans="1:7">
      <c r="B589" s="102"/>
      <c r="E589" s="3"/>
      <c r="F589" s="3"/>
    </row>
    <row r="590" spans="1:7">
      <c r="B590" s="102"/>
      <c r="E590" s="3"/>
      <c r="F590" s="3"/>
    </row>
    <row r="591" spans="1:7">
      <c r="A591" s="52"/>
      <c r="B591" s="52"/>
      <c r="C591" s="52"/>
      <c r="D591" s="52"/>
      <c r="E591" s="52"/>
    </row>
    <row r="592" spans="1:7">
      <c r="A592" s="34"/>
      <c r="E592" s="242"/>
    </row>
    <row r="593" spans="1:5" ht="13.2">
      <c r="A593" s="34"/>
      <c r="B593" s="243"/>
      <c r="E593" s="242"/>
    </row>
  </sheetData>
  <sheetProtection formatCells="0" formatColumns="0" formatRows="0" insertColumns="0" insertRows="0" insertHyperlinks="0" deleteColumns="0" deleteRows="0" sort="0" autoFilter="0" pivotTables="0"/>
  <mergeCells count="39">
    <mergeCell ref="C478:D478"/>
    <mergeCell ref="C479:D479"/>
    <mergeCell ref="C480:D480"/>
    <mergeCell ref="A461:G461"/>
    <mergeCell ref="C471:C473"/>
    <mergeCell ref="C474:D474"/>
    <mergeCell ref="C475:D475"/>
    <mergeCell ref="C476:D476"/>
    <mergeCell ref="C477:D477"/>
    <mergeCell ref="A424:G424"/>
    <mergeCell ref="A144:G144"/>
    <mergeCell ref="C147:F147"/>
    <mergeCell ref="C155:F155"/>
    <mergeCell ref="C96:D96"/>
    <mergeCell ref="C97:D97"/>
    <mergeCell ref="C112:D112"/>
    <mergeCell ref="A197:G197"/>
    <mergeCell ref="A199:G199"/>
    <mergeCell ref="A325:G325"/>
    <mergeCell ref="B358:D358"/>
    <mergeCell ref="A407:G407"/>
    <mergeCell ref="C89:D89"/>
    <mergeCell ref="C19:D19"/>
    <mergeCell ref="B27:B33"/>
    <mergeCell ref="A35:G35"/>
    <mergeCell ref="B38:G38"/>
    <mergeCell ref="A56:G56"/>
    <mergeCell ref="A58:G58"/>
    <mergeCell ref="C72:D72"/>
    <mergeCell ref="C73:D73"/>
    <mergeCell ref="C80:D80"/>
    <mergeCell ref="C81:D81"/>
    <mergeCell ref="C88:D88"/>
    <mergeCell ref="C18:D18"/>
    <mergeCell ref="A1:G2"/>
    <mergeCell ref="A3:G4"/>
    <mergeCell ref="A12:G12"/>
    <mergeCell ref="B14:E14"/>
    <mergeCell ref="C17:D17"/>
  </mergeCells>
  <pageMargins left="0.25" right="0.25" top="0.75" bottom="0.75" header="0.3" footer="0.3"/>
  <pageSetup paperSize="9" scale="67" fitToHeight="6" orientation="portrait" r:id="rId1"/>
  <rowBreaks count="4" manualBreakCount="4">
    <brk id="87" max="6" man="1"/>
    <brk id="195" max="6" man="1"/>
    <brk id="290" max="6" man="1"/>
    <brk id="407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355"/>
  <sheetViews>
    <sheetView view="pageBreakPreview" topLeftCell="A241" zoomScale="96" zoomScaleNormal="100" zoomScaleSheetLayoutView="96" workbookViewId="0">
      <selection activeCell="E261" sqref="E261"/>
    </sheetView>
  </sheetViews>
  <sheetFormatPr defaultColWidth="11.44140625" defaultRowHeight="11.4"/>
  <cols>
    <col min="1" max="1" width="11.44140625" style="1" customWidth="1"/>
    <col min="2" max="2" width="29.88671875" style="1" customWidth="1"/>
    <col min="3" max="3" width="20.6640625" style="1" customWidth="1"/>
    <col min="4" max="4" width="39" style="1" customWidth="1"/>
    <col min="5" max="5" width="20.33203125" style="1" customWidth="1"/>
    <col min="6" max="6" width="17.88671875" style="1" customWidth="1"/>
    <col min="7" max="7" width="11.44140625" style="1" customWidth="1"/>
    <col min="8" max="8" width="12.6640625" style="52" customWidth="1"/>
    <col min="9" max="9" width="14.6640625" style="52" customWidth="1"/>
    <col min="10" max="16384" width="11.44140625" style="52"/>
  </cols>
  <sheetData>
    <row r="1" spans="1:9" ht="11.25" customHeight="1">
      <c r="A1" s="779" t="s">
        <v>178</v>
      </c>
      <c r="B1" s="730"/>
      <c r="C1" s="730"/>
      <c r="D1" s="730"/>
      <c r="E1" s="730"/>
      <c r="F1" s="730"/>
      <c r="G1" s="730"/>
    </row>
    <row r="2" spans="1:9" ht="11.25" customHeight="1">
      <c r="A2" s="779"/>
      <c r="B2" s="730"/>
      <c r="C2" s="730"/>
      <c r="D2" s="730"/>
      <c r="E2" s="730"/>
      <c r="F2" s="730"/>
      <c r="G2" s="730"/>
    </row>
    <row r="3" spans="1:9" ht="14.25" customHeight="1">
      <c r="A3" s="780" t="str">
        <f>'QUADRO GERAL'!B7</f>
        <v>IMPLANTAÇÃO DE CONTÊINERES SEMIENTERRADOS E/OU SOTERRADOS, INCLUINDO SUA LOCAÇÃO, MANUTENÇÃO E HIGIENIZAÇÃO COM 2 BOCAS, PARA 1.000 L</v>
      </c>
      <c r="B3" s="780"/>
      <c r="C3" s="780"/>
      <c r="D3" s="780"/>
      <c r="E3" s="780"/>
      <c r="F3" s="780"/>
      <c r="G3" s="780"/>
    </row>
    <row r="4" spans="1:9" ht="30" customHeight="1">
      <c r="A4" s="780"/>
      <c r="B4" s="780"/>
      <c r="C4" s="780"/>
      <c r="D4" s="780"/>
      <c r="E4" s="780"/>
      <c r="F4" s="780"/>
      <c r="G4" s="780"/>
    </row>
    <row r="5" spans="1:9">
      <c r="E5" s="2"/>
      <c r="F5" s="3"/>
      <c r="G5" s="4"/>
    </row>
    <row r="6" spans="1:9" ht="12" thickBot="1">
      <c r="B6" s="6" t="s">
        <v>179</v>
      </c>
      <c r="C6" s="7"/>
      <c r="D6" s="7"/>
      <c r="E6" s="8"/>
      <c r="F6" s="9"/>
    </row>
    <row r="7" spans="1:9">
      <c r="B7" s="338" t="s">
        <v>180</v>
      </c>
      <c r="C7" s="11"/>
      <c r="D7" s="12"/>
      <c r="E7" s="219">
        <v>1</v>
      </c>
      <c r="F7" s="13" t="s">
        <v>564</v>
      </c>
      <c r="G7" s="14"/>
    </row>
    <row r="8" spans="1:9">
      <c r="B8" s="339" t="s">
        <v>180</v>
      </c>
      <c r="C8" s="16"/>
      <c r="D8" s="17"/>
      <c r="E8" s="21">
        <v>12</v>
      </c>
      <c r="F8" s="19" t="s">
        <v>183</v>
      </c>
      <c r="G8" s="23"/>
    </row>
    <row r="9" spans="1:9" ht="13.2">
      <c r="B9" s="339" t="s">
        <v>184</v>
      </c>
      <c r="C9" s="16"/>
      <c r="D9" s="17"/>
      <c r="E9" s="18">
        <v>26.08</v>
      </c>
      <c r="F9" s="19" t="s">
        <v>185</v>
      </c>
      <c r="G9" s="20"/>
      <c r="I9" s="400"/>
    </row>
    <row r="10" spans="1:9" ht="15" customHeight="1">
      <c r="B10" s="15" t="s">
        <v>223</v>
      </c>
      <c r="C10" s="16"/>
      <c r="D10" s="17"/>
      <c r="E10" s="18">
        <v>7</v>
      </c>
      <c r="F10" s="340" t="s">
        <v>643</v>
      </c>
      <c r="G10" s="20"/>
    </row>
    <row r="11" spans="1:9" ht="15" hidden="1" customHeight="1">
      <c r="B11" s="15" t="s">
        <v>544</v>
      </c>
      <c r="C11" s="16"/>
      <c r="D11" s="17"/>
      <c r="E11" s="18">
        <v>0</v>
      </c>
      <c r="F11" s="340" t="s">
        <v>460</v>
      </c>
      <c r="G11" s="398"/>
    </row>
    <row r="12" spans="1:9" ht="13.8">
      <c r="A12" s="757"/>
      <c r="B12" s="758"/>
      <c r="C12" s="758"/>
      <c r="D12" s="758"/>
      <c r="E12" s="758"/>
      <c r="F12" s="758"/>
      <c r="G12" s="758"/>
    </row>
    <row r="13" spans="1:9">
      <c r="A13" s="3"/>
    </row>
    <row r="14" spans="1:9" ht="13.8">
      <c r="A14" s="757" t="s">
        <v>630</v>
      </c>
      <c r="B14" s="758"/>
      <c r="C14" s="758"/>
      <c r="D14" s="758"/>
      <c r="E14" s="758"/>
      <c r="F14" s="758"/>
      <c r="G14" s="758"/>
    </row>
    <row r="15" spans="1:9" ht="11.25" customHeight="1" thickBot="1">
      <c r="B15" s="3"/>
      <c r="F15" s="100"/>
    </row>
    <row r="16" spans="1:9" ht="13.5" customHeight="1" thickBot="1">
      <c r="B16" s="182"/>
      <c r="C16" s="13"/>
      <c r="D16" s="13"/>
      <c r="E16" s="13"/>
      <c r="F16" s="13"/>
      <c r="G16" s="695"/>
    </row>
    <row r="17" spans="2:7" ht="13.5" customHeight="1">
      <c r="B17" s="66" t="s">
        <v>631</v>
      </c>
      <c r="C17" s="13"/>
      <c r="D17" s="101"/>
      <c r="E17" s="101"/>
      <c r="F17" s="101"/>
      <c r="G17" s="14"/>
    </row>
    <row r="18" spans="2:7" ht="13.5" customHeight="1">
      <c r="B18" s="118"/>
      <c r="C18" s="119"/>
      <c r="D18" s="104" t="s">
        <v>223</v>
      </c>
      <c r="E18" s="234" t="s">
        <v>632</v>
      </c>
      <c r="F18" s="82" t="s">
        <v>277</v>
      </c>
      <c r="G18" s="23"/>
    </row>
    <row r="19" spans="2:7" ht="70.2" customHeight="1">
      <c r="B19" s="795" t="s">
        <v>633</v>
      </c>
      <c r="C19" s="796"/>
      <c r="D19" s="122">
        <v>84.28</v>
      </c>
      <c r="E19" s="123">
        <f>'04-Composição auxiliar'!H7</f>
        <v>170.30429999999998</v>
      </c>
      <c r="F19" s="692">
        <f>(D19*E19)</f>
        <v>14353.246404</v>
      </c>
      <c r="G19" s="693"/>
    </row>
    <row r="20" spans="2:7" ht="62.4" customHeight="1">
      <c r="B20" s="795" t="s">
        <v>634</v>
      </c>
      <c r="C20" s="796"/>
      <c r="D20" s="122">
        <v>74.8</v>
      </c>
      <c r="E20" s="123">
        <f>'04-Composição auxiliar'!H12</f>
        <v>5.82</v>
      </c>
      <c r="F20" s="692">
        <f t="shared" ref="F20:F26" si="0">(D20*E20)</f>
        <v>435.33600000000001</v>
      </c>
      <c r="G20" s="23"/>
    </row>
    <row r="21" spans="2:7" ht="60.6" customHeight="1">
      <c r="B21" s="795" t="s">
        <v>635</v>
      </c>
      <c r="C21" s="796"/>
      <c r="D21" s="122">
        <v>69.510000000000005</v>
      </c>
      <c r="E21" s="123">
        <f>'04-Composição auxiliar'!H18</f>
        <v>6.61</v>
      </c>
      <c r="F21" s="692">
        <f t="shared" si="0"/>
        <v>459.46110000000004</v>
      </c>
      <c r="G21" s="124"/>
    </row>
    <row r="22" spans="2:7" ht="13.5" customHeight="1">
      <c r="B22" s="795" t="s">
        <v>636</v>
      </c>
      <c r="C22" s="796"/>
      <c r="D22" s="122">
        <v>12.95</v>
      </c>
      <c r="E22" s="123">
        <f>'04-Composição auxiliar'!H23</f>
        <v>425.32000000000005</v>
      </c>
      <c r="F22" s="692">
        <f t="shared" si="0"/>
        <v>5507.8940000000002</v>
      </c>
      <c r="G22" s="124"/>
    </row>
    <row r="23" spans="2:7" ht="52.2" customHeight="1">
      <c r="B23" s="795" t="s">
        <v>637</v>
      </c>
      <c r="C23" s="796"/>
      <c r="D23" s="122">
        <v>28.14</v>
      </c>
      <c r="E23" s="123">
        <f>'04-Composição auxiliar'!H32</f>
        <v>87.169999999999987</v>
      </c>
      <c r="F23" s="692">
        <f t="shared" si="0"/>
        <v>2452.9637999999995</v>
      </c>
      <c r="G23" s="124"/>
    </row>
    <row r="24" spans="2:7" ht="63.6" customHeight="1">
      <c r="B24" s="795" t="s">
        <v>638</v>
      </c>
      <c r="C24" s="796"/>
      <c r="D24" s="122">
        <v>52.21</v>
      </c>
      <c r="E24" s="123">
        <f>'04-Composição auxiliar'!H41</f>
        <v>4.07</v>
      </c>
      <c r="F24" s="692">
        <f t="shared" si="0"/>
        <v>212.49470000000002</v>
      </c>
      <c r="G24" s="124"/>
    </row>
    <row r="25" spans="2:7" ht="96" customHeight="1">
      <c r="B25" s="795" t="s">
        <v>639</v>
      </c>
      <c r="C25" s="796"/>
      <c r="D25" s="122">
        <f>+D24</f>
        <v>52.21</v>
      </c>
      <c r="E25" s="123">
        <f>'04-Composição auxiliar'!H47</f>
        <v>32.520000000000003</v>
      </c>
      <c r="F25" s="692">
        <f t="shared" si="0"/>
        <v>1697.8692000000001</v>
      </c>
      <c r="G25" s="124"/>
    </row>
    <row r="26" spans="2:7" ht="69" customHeight="1">
      <c r="B26" s="795" t="s">
        <v>640</v>
      </c>
      <c r="C26" s="796"/>
      <c r="D26" s="120">
        <v>18.059999999999999</v>
      </c>
      <c r="E26" s="233">
        <f>'04-Composição auxiliar'!H53</f>
        <v>72.38</v>
      </c>
      <c r="F26" s="692">
        <f t="shared" si="0"/>
        <v>1307.1827999999998</v>
      </c>
      <c r="G26" s="124"/>
    </row>
    <row r="27" spans="2:7" ht="13.5" hidden="1" customHeight="1">
      <c r="B27" s="78"/>
      <c r="C27" s="107" t="str">
        <f>'DADOS DE ENTRADA'!$D$37</f>
        <v>Máscara c/filtro</v>
      </c>
      <c r="D27" s="108">
        <v>0</v>
      </c>
      <c r="E27" s="250">
        <f>'DADOS DE ENTRADA'!$E$37</f>
        <v>1.6</v>
      </c>
      <c r="F27" s="109">
        <f t="shared" ref="F27:F28" si="1">(D27*E27)/12</f>
        <v>0</v>
      </c>
      <c r="G27" s="229"/>
    </row>
    <row r="28" spans="2:7" ht="13.5" hidden="1" customHeight="1">
      <c r="B28" s="78"/>
      <c r="C28" s="107" t="str">
        <f>'DADOS DE ENTRADA'!$D$39</f>
        <v>Óculos de Proteção</v>
      </c>
      <c r="D28" s="108">
        <v>0</v>
      </c>
      <c r="E28" s="250">
        <f>'DADOS DE ENTRADA'!$E$39</f>
        <v>1.5</v>
      </c>
      <c r="F28" s="109">
        <f t="shared" si="1"/>
        <v>0</v>
      </c>
      <c r="G28" s="229"/>
    </row>
    <row r="29" spans="2:7" ht="13.5" customHeight="1">
      <c r="B29" s="95"/>
      <c r="C29" s="19"/>
      <c r="D29" s="84"/>
      <c r="E29" s="344" t="s">
        <v>404</v>
      </c>
      <c r="F29" s="76">
        <f>SUM(F19:F28)</f>
        <v>26426.448003999998</v>
      </c>
      <c r="G29" s="112"/>
    </row>
    <row r="30" spans="2:7" ht="13.5" customHeight="1" thickBot="1">
      <c r="B30" s="125"/>
      <c r="C30" s="48"/>
      <c r="D30" s="48"/>
      <c r="E30" s="126"/>
      <c r="F30" s="127"/>
      <c r="G30" s="29"/>
    </row>
    <row r="31" spans="2:7" ht="13.5" customHeight="1" thickBot="1">
      <c r="B31" s="78"/>
      <c r="C31" s="19"/>
      <c r="D31" s="19"/>
      <c r="E31" s="93"/>
      <c r="F31" s="80"/>
      <c r="G31" s="23"/>
    </row>
    <row r="32" spans="2:7" ht="13.5" customHeight="1">
      <c r="B32" s="86"/>
      <c r="C32" s="128"/>
      <c r="D32" s="129"/>
      <c r="E32" s="129"/>
      <c r="F32" s="130"/>
      <c r="G32" s="112"/>
    </row>
    <row r="33" spans="1:7" ht="13.5" customHeight="1">
      <c r="B33" s="86"/>
      <c r="C33" s="347" t="s">
        <v>294</v>
      </c>
      <c r="D33" s="132"/>
      <c r="E33" s="76">
        <f>F29</f>
        <v>26426.448003999998</v>
      </c>
      <c r="F33" s="133" t="s">
        <v>229</v>
      </c>
      <c r="G33" s="23"/>
    </row>
    <row r="34" spans="1:7" ht="13.5" customHeight="1">
      <c r="B34" s="86"/>
      <c r="C34" s="134" t="s">
        <v>646</v>
      </c>
      <c r="D34" s="132"/>
      <c r="E34" s="132"/>
      <c r="F34" s="135"/>
      <c r="G34" s="23"/>
    </row>
    <row r="35" spans="1:7" ht="13.5" customHeight="1">
      <c r="B35" s="86"/>
      <c r="C35" s="347" t="s">
        <v>296</v>
      </c>
      <c r="D35" s="132"/>
      <c r="E35" s="76">
        <v>0</v>
      </c>
      <c r="F35" s="133" t="s">
        <v>229</v>
      </c>
      <c r="G35" s="23"/>
    </row>
    <row r="36" spans="1:7" ht="13.5" customHeight="1" thickBot="1">
      <c r="B36" s="86"/>
      <c r="C36" s="136" t="s">
        <v>295</v>
      </c>
      <c r="D36" s="137"/>
      <c r="E36" s="137"/>
      <c r="F36" s="138"/>
      <c r="G36" s="112"/>
    </row>
    <row r="37" spans="1:7" ht="13.5" customHeight="1" thickBot="1">
      <c r="B37" s="139"/>
      <c r="C37" s="48"/>
      <c r="D37" s="48"/>
      <c r="E37" s="48"/>
      <c r="F37" s="127"/>
      <c r="G37" s="29"/>
    </row>
    <row r="38" spans="1:7" ht="13.5" customHeight="1">
      <c r="A38" s="3"/>
      <c r="B38" s="3"/>
      <c r="E38" s="100"/>
      <c r="F38" s="2"/>
    </row>
    <row r="39" spans="1:7" ht="13.5" customHeight="1">
      <c r="A39" s="757" t="s">
        <v>654</v>
      </c>
      <c r="B39" s="758"/>
      <c r="C39" s="758"/>
      <c r="D39" s="758"/>
      <c r="E39" s="758"/>
      <c r="F39" s="758"/>
      <c r="G39" s="758"/>
    </row>
    <row r="40" spans="1:7" ht="13.5" customHeight="1">
      <c r="B40" s="3"/>
      <c r="F40" s="100"/>
    </row>
    <row r="41" spans="1:7" ht="13.5" customHeight="1">
      <c r="A41" s="772" t="s">
        <v>298</v>
      </c>
      <c r="B41" s="772"/>
      <c r="C41" s="772"/>
      <c r="D41" s="772"/>
      <c r="E41" s="772"/>
      <c r="F41" s="772"/>
      <c r="G41" s="772"/>
    </row>
    <row r="42" spans="1:7" ht="13.5" customHeight="1" thickBot="1">
      <c r="B42" s="3"/>
      <c r="F42" s="100"/>
    </row>
    <row r="43" spans="1:7" ht="13.5" customHeight="1">
      <c r="A43" s="52"/>
      <c r="B43" s="349" t="s">
        <v>299</v>
      </c>
      <c r="C43" s="13"/>
      <c r="D43" s="13"/>
      <c r="E43" s="140"/>
      <c r="F43" s="13"/>
      <c r="G43" s="14"/>
    </row>
    <row r="44" spans="1:7" ht="13.5" customHeight="1">
      <c r="A44" s="52"/>
      <c r="B44" s="86"/>
      <c r="C44" s="19"/>
      <c r="D44" s="19"/>
      <c r="E44" s="93"/>
      <c r="F44" s="19"/>
      <c r="G44" s="23"/>
    </row>
    <row r="45" spans="1:7">
      <c r="A45" s="52"/>
      <c r="B45" s="141" t="s">
        <v>736</v>
      </c>
      <c r="C45" s="19"/>
      <c r="D45" s="19"/>
      <c r="E45" s="142">
        <v>0.1</v>
      </c>
      <c r="F45" s="19"/>
      <c r="G45" s="23"/>
    </row>
    <row r="46" spans="1:7">
      <c r="A46" s="52"/>
      <c r="B46" s="141"/>
      <c r="C46" s="19"/>
      <c r="D46" s="19"/>
      <c r="E46" s="19"/>
      <c r="F46" s="19"/>
      <c r="G46" s="23"/>
    </row>
    <row r="47" spans="1:7" ht="12.75" customHeight="1">
      <c r="A47" s="52"/>
      <c r="B47" s="143"/>
      <c r="C47" s="144" t="s">
        <v>649</v>
      </c>
      <c r="D47" s="145"/>
      <c r="E47" s="72">
        <v>7</v>
      </c>
      <c r="F47" s="77" t="s">
        <v>301</v>
      </c>
      <c r="G47" s="23"/>
    </row>
    <row r="48" spans="1:7">
      <c r="A48" s="52"/>
      <c r="B48" s="143"/>
      <c r="C48" s="144" t="s">
        <v>653</v>
      </c>
      <c r="D48" s="145"/>
      <c r="E48" s="21">
        <v>3750</v>
      </c>
      <c r="F48" s="77" t="s">
        <v>229</v>
      </c>
      <c r="G48" s="23"/>
    </row>
    <row r="49" spans="1:12">
      <c r="A49" s="52"/>
      <c r="B49" s="143"/>
      <c r="C49" s="144" t="s">
        <v>304</v>
      </c>
      <c r="D49" s="145"/>
      <c r="E49" s="21">
        <v>2</v>
      </c>
      <c r="F49" s="77" t="s">
        <v>305</v>
      </c>
      <c r="G49" s="23"/>
    </row>
    <row r="50" spans="1:12" ht="12" thickBot="1">
      <c r="A50" s="52"/>
      <c r="B50" s="146"/>
      <c r="C50" s="144" t="s">
        <v>306</v>
      </c>
      <c r="D50" s="145"/>
      <c r="E50" s="27">
        <f>E45*E48</f>
        <v>375</v>
      </c>
      <c r="F50" s="77" t="s">
        <v>229</v>
      </c>
      <c r="G50" s="23"/>
      <c r="J50" s="144"/>
      <c r="K50" s="145"/>
      <c r="L50" s="77"/>
    </row>
    <row r="51" spans="1:12">
      <c r="A51" s="52"/>
      <c r="B51" s="146"/>
      <c r="C51" s="144" t="s">
        <v>307</v>
      </c>
      <c r="D51" s="145"/>
      <c r="E51" s="147">
        <v>2504.64</v>
      </c>
      <c r="F51" s="77" t="s">
        <v>308</v>
      </c>
      <c r="G51" s="23"/>
      <c r="J51" s="144"/>
      <c r="K51" s="145"/>
      <c r="L51" s="77"/>
    </row>
    <row r="52" spans="1:12">
      <c r="A52" s="52"/>
      <c r="B52" s="141"/>
      <c r="C52" s="144" t="s">
        <v>309</v>
      </c>
      <c r="D52" s="145"/>
      <c r="E52" s="148">
        <f>(E48-E50)/(E49*E51)</f>
        <v>0.67374952088922957</v>
      </c>
      <c r="F52" s="77" t="s">
        <v>229</v>
      </c>
      <c r="G52" s="23"/>
      <c r="J52" s="144"/>
      <c r="K52" s="145"/>
      <c r="L52" s="77"/>
    </row>
    <row r="53" spans="1:12">
      <c r="A53" s="52"/>
      <c r="B53" s="141"/>
      <c r="C53" s="149" t="s">
        <v>310</v>
      </c>
      <c r="D53" s="145"/>
      <c r="E53" s="150">
        <f>E52*E51</f>
        <v>1687.4999999999998</v>
      </c>
      <c r="F53" s="77" t="s">
        <v>229</v>
      </c>
      <c r="G53" s="23"/>
      <c r="J53" s="144"/>
      <c r="K53" s="145"/>
      <c r="L53" s="77"/>
    </row>
    <row r="54" spans="1:12">
      <c r="A54" s="52"/>
      <c r="B54" s="141"/>
      <c r="C54" s="149" t="s">
        <v>311</v>
      </c>
      <c r="D54" s="145"/>
      <c r="E54" s="151">
        <f>E53/12</f>
        <v>140.62499999999997</v>
      </c>
      <c r="F54" s="77" t="s">
        <v>312</v>
      </c>
      <c r="G54" s="23"/>
      <c r="J54" s="144"/>
      <c r="K54" s="145"/>
      <c r="L54" s="77"/>
    </row>
    <row r="55" spans="1:12" ht="12" thickBot="1">
      <c r="A55" s="52"/>
      <c r="B55" s="141"/>
      <c r="C55" s="149" t="s">
        <v>652</v>
      </c>
      <c r="D55" s="145"/>
      <c r="E55" s="152">
        <f>E47*E54</f>
        <v>984.37499999999977</v>
      </c>
      <c r="F55" s="77" t="s">
        <v>312</v>
      </c>
      <c r="G55" s="23"/>
      <c r="J55" s="144"/>
      <c r="K55" s="145"/>
      <c r="L55" s="77"/>
    </row>
    <row r="56" spans="1:12">
      <c r="A56" s="52"/>
      <c r="B56" s="141"/>
      <c r="C56" s="149"/>
      <c r="D56" s="145"/>
      <c r="E56" s="149"/>
      <c r="F56" s="77"/>
      <c r="G56" s="23"/>
      <c r="J56" s="144"/>
      <c r="K56" s="145"/>
      <c r="L56" s="77"/>
    </row>
    <row r="57" spans="1:12">
      <c r="A57" s="52"/>
      <c r="B57" s="141"/>
      <c r="C57" s="149"/>
      <c r="D57" s="145"/>
      <c r="E57" s="149"/>
      <c r="F57" s="77"/>
      <c r="G57" s="23"/>
      <c r="J57" s="144"/>
      <c r="K57" s="145"/>
      <c r="L57" s="77"/>
    </row>
    <row r="58" spans="1:12">
      <c r="A58" s="52"/>
      <c r="B58" s="86"/>
      <c r="C58" s="19"/>
      <c r="D58" s="84" t="s">
        <v>316</v>
      </c>
      <c r="E58" s="76">
        <f>+E55</f>
        <v>984.37499999999977</v>
      </c>
      <c r="F58" s="77" t="s">
        <v>229</v>
      </c>
      <c r="G58" s="23"/>
      <c r="J58" s="144"/>
      <c r="K58" s="145"/>
      <c r="L58" s="77"/>
    </row>
    <row r="59" spans="1:12">
      <c r="A59" s="52"/>
      <c r="B59" s="86"/>
      <c r="C59" s="19"/>
      <c r="D59" s="344" t="s">
        <v>286</v>
      </c>
      <c r="E59" s="171">
        <f>E8*E58</f>
        <v>11812.499999999996</v>
      </c>
      <c r="F59" s="77" t="s">
        <v>229</v>
      </c>
      <c r="G59" s="23"/>
      <c r="J59" s="144"/>
      <c r="K59" s="145"/>
      <c r="L59" s="77"/>
    </row>
    <row r="60" spans="1:12">
      <c r="B60" s="86"/>
      <c r="C60" s="19"/>
      <c r="D60" s="19"/>
      <c r="E60" s="19"/>
      <c r="F60" s="80"/>
      <c r="G60" s="235"/>
    </row>
    <row r="61" spans="1:12">
      <c r="B61" s="86"/>
      <c r="C61" s="19"/>
      <c r="D61" s="19"/>
      <c r="E61" s="19"/>
      <c r="F61" s="80"/>
      <c r="G61" s="235"/>
    </row>
    <row r="62" spans="1:12">
      <c r="B62" s="86"/>
      <c r="C62" s="19"/>
      <c r="D62" s="19"/>
      <c r="E62" s="19"/>
      <c r="F62" s="80"/>
      <c r="G62" s="235"/>
    </row>
    <row r="63" spans="1:12">
      <c r="A63" s="52"/>
      <c r="B63" s="350" t="s">
        <v>317</v>
      </c>
      <c r="C63" s="19"/>
      <c r="D63" s="19"/>
      <c r="E63" s="19"/>
      <c r="F63" s="80"/>
      <c r="G63" s="235"/>
    </row>
    <row r="64" spans="1:12">
      <c r="A64" s="52"/>
      <c r="B64" s="350"/>
      <c r="C64" s="19"/>
      <c r="D64" s="19"/>
      <c r="E64" s="19"/>
      <c r="F64" s="80"/>
      <c r="G64" s="235"/>
    </row>
    <row r="65" spans="2:7">
      <c r="B65" s="141" t="s">
        <v>319</v>
      </c>
      <c r="C65" s="19"/>
      <c r="D65" s="19"/>
      <c r="E65" s="19"/>
      <c r="F65" s="80"/>
      <c r="G65" s="235"/>
    </row>
    <row r="66" spans="2:7">
      <c r="B66" s="153"/>
      <c r="C66" s="154" t="s">
        <v>320</v>
      </c>
      <c r="D66" s="155"/>
      <c r="E66" s="80"/>
      <c r="F66" s="80"/>
      <c r="G66" s="235"/>
    </row>
    <row r="67" spans="2:7">
      <c r="B67" s="153"/>
      <c r="C67" s="19"/>
      <c r="D67" s="19"/>
      <c r="E67" s="19"/>
      <c r="F67" s="80"/>
      <c r="G67" s="235"/>
    </row>
    <row r="68" spans="2:7" ht="13.5" customHeight="1">
      <c r="B68" s="153"/>
      <c r="C68" s="156" t="s">
        <v>321</v>
      </c>
      <c r="D68" s="157">
        <f>E45</f>
        <v>0.1</v>
      </c>
      <c r="E68" s="19"/>
      <c r="F68" s="80"/>
      <c r="G68" s="235"/>
    </row>
    <row r="69" spans="2:7">
      <c r="B69" s="153"/>
      <c r="C69" s="158" t="s">
        <v>322</v>
      </c>
      <c r="D69" s="159">
        <v>2</v>
      </c>
      <c r="E69" s="19"/>
      <c r="F69" s="80"/>
      <c r="G69" s="235"/>
    </row>
    <row r="70" spans="2:7">
      <c r="B70" s="153"/>
      <c r="C70" s="158" t="s">
        <v>323</v>
      </c>
      <c r="D70" s="160">
        <v>0.104</v>
      </c>
      <c r="E70" s="19"/>
      <c r="F70" s="80"/>
      <c r="G70" s="235"/>
    </row>
    <row r="71" spans="2:7" ht="12" thickBot="1">
      <c r="B71" s="143"/>
      <c r="C71" s="161" t="s">
        <v>324</v>
      </c>
      <c r="D71" s="162">
        <f>((2+(D69-1)*(D68+1))/(24*D69)*D70)</f>
        <v>6.7166666666666668E-3</v>
      </c>
      <c r="E71" s="77"/>
      <c r="F71" s="77"/>
      <c r="G71" s="235"/>
    </row>
    <row r="72" spans="2:7">
      <c r="B72" s="143"/>
      <c r="C72" s="145"/>
      <c r="D72" s="145"/>
      <c r="E72" s="77"/>
      <c r="F72" s="77"/>
      <c r="G72" s="235"/>
    </row>
    <row r="73" spans="2:7">
      <c r="B73" s="143"/>
      <c r="C73" s="144" t="s">
        <v>649</v>
      </c>
      <c r="D73" s="77"/>
      <c r="E73" s="72">
        <f>E47</f>
        <v>7</v>
      </c>
      <c r="F73" s="77" t="s">
        <v>301</v>
      </c>
      <c r="G73" s="235"/>
    </row>
    <row r="74" spans="2:7">
      <c r="B74" s="143"/>
      <c r="C74" s="144" t="s">
        <v>303</v>
      </c>
      <c r="D74" s="145"/>
      <c r="E74" s="21">
        <f>E48</f>
        <v>3750</v>
      </c>
      <c r="F74" s="77" t="s">
        <v>229</v>
      </c>
      <c r="G74" s="235"/>
    </row>
    <row r="75" spans="2:7">
      <c r="B75" s="143"/>
      <c r="C75" s="144" t="s">
        <v>326</v>
      </c>
      <c r="D75" s="145"/>
      <c r="E75" s="163">
        <f>D71</f>
        <v>6.7166666666666668E-3</v>
      </c>
      <c r="F75" s="164"/>
      <c r="G75" s="235"/>
    </row>
    <row r="76" spans="2:7" ht="10.95" customHeight="1">
      <c r="B76" s="143"/>
      <c r="C76" s="144" t="s">
        <v>327</v>
      </c>
      <c r="D76" s="145"/>
      <c r="E76" s="21">
        <f>E74*E75</f>
        <v>25.1875</v>
      </c>
      <c r="F76" s="77" t="s">
        <v>229</v>
      </c>
      <c r="G76" s="235"/>
    </row>
    <row r="77" spans="2:7">
      <c r="B77" s="165"/>
      <c r="C77" s="149" t="s">
        <v>652</v>
      </c>
      <c r="D77" s="145"/>
      <c r="E77" s="166">
        <f>E76*E73</f>
        <v>176.3125</v>
      </c>
      <c r="F77" s="167"/>
      <c r="G77" s="235"/>
    </row>
    <row r="78" spans="2:7" hidden="1">
      <c r="B78" s="165"/>
      <c r="C78" s="149"/>
      <c r="D78" s="145"/>
      <c r="E78" s="145"/>
      <c r="F78" s="167"/>
      <c r="G78" s="235"/>
    </row>
    <row r="79" spans="2:7" hidden="1">
      <c r="B79" s="350" t="s">
        <v>314</v>
      </c>
      <c r="C79" s="149"/>
      <c r="D79" s="145"/>
      <c r="E79" s="145"/>
      <c r="F79" s="167"/>
      <c r="G79" s="235"/>
    </row>
    <row r="80" spans="2:7" hidden="1">
      <c r="B80" s="141"/>
      <c r="C80" s="154" t="s">
        <v>320</v>
      </c>
      <c r="D80" s="155"/>
      <c r="E80" s="80"/>
      <c r="F80" s="80"/>
      <c r="G80" s="235"/>
    </row>
    <row r="81" spans="1:7" hidden="1">
      <c r="B81" s="86"/>
      <c r="C81" s="19"/>
      <c r="D81" s="19"/>
      <c r="E81" s="19"/>
      <c r="F81" s="80"/>
      <c r="G81" s="235"/>
    </row>
    <row r="82" spans="1:7" hidden="1">
      <c r="B82" s="86"/>
      <c r="C82" s="156" t="s">
        <v>321</v>
      </c>
      <c r="D82" s="157">
        <v>0</v>
      </c>
      <c r="E82" s="19"/>
      <c r="F82" s="80"/>
      <c r="G82" s="235"/>
    </row>
    <row r="83" spans="1:7" hidden="1">
      <c r="B83" s="86"/>
      <c r="C83" s="158" t="s">
        <v>322</v>
      </c>
      <c r="D83" s="159">
        <v>0</v>
      </c>
      <c r="E83" s="19"/>
      <c r="F83" s="80"/>
      <c r="G83" s="235"/>
    </row>
    <row r="84" spans="1:7" hidden="1">
      <c r="B84" s="86"/>
      <c r="C84" s="158" t="s">
        <v>323</v>
      </c>
      <c r="D84" s="160">
        <f>'DADOS DE ENTRADA'!B48</f>
        <v>0.03</v>
      </c>
      <c r="E84" s="19"/>
      <c r="F84" s="80"/>
      <c r="G84" s="235"/>
    </row>
    <row r="85" spans="1:7" ht="12" hidden="1" thickBot="1">
      <c r="B85" s="86"/>
      <c r="C85" s="161" t="s">
        <v>324</v>
      </c>
      <c r="D85" s="162" t="e">
        <f>((2+(D83-1)*(D82+1))/(24*D83)*D84)</f>
        <v>#DIV/0!</v>
      </c>
      <c r="E85" s="77"/>
      <c r="F85" s="77"/>
      <c r="G85" s="235"/>
    </row>
    <row r="86" spans="1:7" hidden="1">
      <c r="B86" s="86"/>
      <c r="C86" s="145"/>
      <c r="D86" s="145"/>
      <c r="E86" s="77"/>
      <c r="F86" s="77"/>
      <c r="G86" s="235"/>
    </row>
    <row r="87" spans="1:7" hidden="1">
      <c r="B87" s="86"/>
      <c r="C87" s="144" t="s">
        <v>328</v>
      </c>
      <c r="D87" s="77"/>
      <c r="E87" s="72">
        <v>0</v>
      </c>
      <c r="F87" s="77" t="s">
        <v>301</v>
      </c>
      <c r="G87" s="235"/>
    </row>
    <row r="88" spans="1:7" hidden="1">
      <c r="B88" s="86"/>
      <c r="C88" s="144" t="s">
        <v>329</v>
      </c>
      <c r="D88" s="145"/>
      <c r="E88" s="21">
        <f>'DADOS DE ENTRADA'!E68</f>
        <v>0</v>
      </c>
      <c r="F88" s="77" t="s">
        <v>229</v>
      </c>
      <c r="G88" s="235"/>
    </row>
    <row r="89" spans="1:7" hidden="1">
      <c r="B89" s="165"/>
      <c r="C89" s="144" t="s">
        <v>326</v>
      </c>
      <c r="D89" s="145"/>
      <c r="E89" s="163" t="e">
        <f>D85</f>
        <v>#DIV/0!</v>
      </c>
      <c r="F89" s="164"/>
      <c r="G89" s="235"/>
    </row>
    <row r="90" spans="1:7" hidden="1">
      <c r="B90" s="165"/>
      <c r="C90" s="144" t="s">
        <v>327</v>
      </c>
      <c r="D90" s="145"/>
      <c r="E90" s="21" t="e">
        <f>E88*E89</f>
        <v>#DIV/0!</v>
      </c>
      <c r="F90" s="77" t="s">
        <v>229</v>
      </c>
      <c r="G90" s="235"/>
    </row>
    <row r="91" spans="1:7" hidden="1">
      <c r="B91" s="165"/>
      <c r="C91" s="149" t="s">
        <v>315</v>
      </c>
      <c r="D91" s="145"/>
      <c r="E91" s="166" t="e">
        <f>E90*E87</f>
        <v>#DIV/0!</v>
      </c>
      <c r="F91" s="77"/>
      <c r="G91" s="235"/>
    </row>
    <row r="92" spans="1:7">
      <c r="B92" s="165"/>
      <c r="C92" s="149"/>
      <c r="D92" s="145"/>
      <c r="E92" s="145"/>
      <c r="F92" s="167"/>
      <c r="G92" s="235"/>
    </row>
    <row r="93" spans="1:7">
      <c r="B93" s="86"/>
      <c r="C93" s="17"/>
      <c r="D93" s="84" t="s">
        <v>330</v>
      </c>
      <c r="E93" s="76">
        <f>E77</f>
        <v>176.3125</v>
      </c>
      <c r="F93" s="77" t="s">
        <v>229</v>
      </c>
      <c r="G93" s="235"/>
    </row>
    <row r="94" spans="1:7">
      <c r="B94" s="86"/>
      <c r="C94" s="16"/>
      <c r="D94" s="344" t="s">
        <v>293</v>
      </c>
      <c r="E94" s="171">
        <f>E8*E93</f>
        <v>2115.75</v>
      </c>
      <c r="F94" s="77" t="s">
        <v>229</v>
      </c>
      <c r="G94" s="235"/>
    </row>
    <row r="95" spans="1:7">
      <c r="B95" s="153"/>
      <c r="C95" s="19"/>
      <c r="D95" s="19"/>
      <c r="E95" s="19"/>
      <c r="F95" s="80"/>
      <c r="G95" s="235"/>
    </row>
    <row r="96" spans="1:7">
      <c r="A96" s="52"/>
      <c r="B96" s="350" t="s">
        <v>342</v>
      </c>
      <c r="C96" s="19"/>
      <c r="D96" s="19"/>
      <c r="E96" s="19"/>
      <c r="F96" s="93"/>
      <c r="G96" s="23"/>
    </row>
    <row r="97" spans="1:7">
      <c r="A97" s="52"/>
      <c r="B97" s="350"/>
      <c r="C97" s="19"/>
      <c r="D97" s="19"/>
      <c r="E97" s="19"/>
      <c r="F97" s="93"/>
      <c r="G97" s="23"/>
    </row>
    <row r="98" spans="1:7">
      <c r="A98" s="52"/>
      <c r="B98" s="86"/>
      <c r="C98" s="19"/>
      <c r="D98" s="19"/>
      <c r="E98" s="19"/>
      <c r="F98" s="93"/>
      <c r="G98" s="23"/>
    </row>
    <row r="99" spans="1:7">
      <c r="A99" s="52"/>
      <c r="B99" s="86"/>
      <c r="C99" s="144" t="s">
        <v>649</v>
      </c>
      <c r="D99" s="145"/>
      <c r="E99" s="72">
        <f>E73</f>
        <v>7</v>
      </c>
      <c r="F99" s="77" t="s">
        <v>301</v>
      </c>
      <c r="G99" s="23"/>
    </row>
    <row r="100" spans="1:7">
      <c r="A100" s="52"/>
      <c r="B100" s="86"/>
      <c r="C100" s="144" t="s">
        <v>303</v>
      </c>
      <c r="D100" s="145"/>
      <c r="E100" s="168">
        <f>E74</f>
        <v>3750</v>
      </c>
      <c r="F100" s="77" t="s">
        <v>229</v>
      </c>
      <c r="G100" s="23"/>
    </row>
    <row r="101" spans="1:7">
      <c r="A101" s="52"/>
      <c r="B101" s="86"/>
      <c r="C101" s="144" t="s">
        <v>304</v>
      </c>
      <c r="D101" s="145"/>
      <c r="E101" s="168">
        <f>E49</f>
        <v>2</v>
      </c>
      <c r="F101" s="351" t="s">
        <v>305</v>
      </c>
      <c r="G101" s="23"/>
    </row>
    <row r="102" spans="1:7">
      <c r="A102" s="52"/>
      <c r="B102" s="86"/>
      <c r="C102" s="144" t="s">
        <v>343</v>
      </c>
      <c r="D102" s="145"/>
      <c r="E102" s="168">
        <v>0.5</v>
      </c>
      <c r="F102" s="164"/>
      <c r="G102" s="23"/>
    </row>
    <row r="103" spans="1:7">
      <c r="A103" s="52"/>
      <c r="B103" s="86"/>
      <c r="C103" s="144" t="s">
        <v>344</v>
      </c>
      <c r="D103" s="145"/>
      <c r="E103" s="169">
        <v>2504.64</v>
      </c>
      <c r="F103" s="351" t="s">
        <v>345</v>
      </c>
      <c r="G103" s="23"/>
    </row>
    <row r="104" spans="1:7">
      <c r="A104" s="52"/>
      <c r="B104" s="86"/>
      <c r="C104" s="149" t="s">
        <v>337</v>
      </c>
      <c r="D104" s="145"/>
      <c r="E104" s="76">
        <f>(E100*E102)/(E103*E101)</f>
        <v>0.37430528938290536</v>
      </c>
      <c r="F104" s="77" t="s">
        <v>229</v>
      </c>
      <c r="G104" s="23"/>
    </row>
    <row r="105" spans="1:7">
      <c r="A105" s="52"/>
      <c r="B105" s="86"/>
      <c r="C105" s="149" t="s">
        <v>282</v>
      </c>
      <c r="D105" s="145"/>
      <c r="E105" s="76">
        <f>(E104*E103)/12</f>
        <v>78.125</v>
      </c>
      <c r="F105" s="77" t="s">
        <v>229</v>
      </c>
      <c r="G105" s="23"/>
    </row>
    <row r="106" spans="1:7">
      <c r="A106" s="52"/>
      <c r="B106" s="86"/>
      <c r="C106" s="149" t="s">
        <v>651</v>
      </c>
      <c r="D106" s="145"/>
      <c r="E106" s="76">
        <f>E105*E99</f>
        <v>546.875</v>
      </c>
      <c r="F106" s="77" t="s">
        <v>229</v>
      </c>
      <c r="G106" s="23"/>
    </row>
    <row r="107" spans="1:7">
      <c r="A107" s="52"/>
      <c r="B107" s="86"/>
      <c r="C107" s="19"/>
      <c r="D107" s="19"/>
      <c r="E107" s="19"/>
      <c r="F107" s="93"/>
      <c r="G107" s="23"/>
    </row>
    <row r="108" spans="1:7" hidden="1">
      <c r="A108" s="52"/>
      <c r="B108" s="350" t="s">
        <v>542</v>
      </c>
      <c r="C108" s="19"/>
      <c r="D108" s="19"/>
      <c r="E108" s="19"/>
      <c r="F108" s="93"/>
      <c r="G108" s="23"/>
    </row>
    <row r="109" spans="1:7" hidden="1">
      <c r="A109" s="52"/>
      <c r="B109" s="86"/>
      <c r="C109" s="19"/>
      <c r="D109" s="19"/>
      <c r="E109" s="19"/>
      <c r="F109" s="93"/>
      <c r="G109" s="23"/>
    </row>
    <row r="110" spans="1:7" hidden="1">
      <c r="A110" s="52"/>
      <c r="B110" s="86"/>
      <c r="C110" s="144" t="s">
        <v>328</v>
      </c>
      <c r="D110" s="145"/>
      <c r="E110" s="72">
        <v>0</v>
      </c>
      <c r="F110" s="77" t="s">
        <v>301</v>
      </c>
      <c r="G110" s="23"/>
    </row>
    <row r="111" spans="1:7" hidden="1">
      <c r="A111" s="52"/>
      <c r="B111" s="86"/>
      <c r="C111" s="144" t="s">
        <v>303</v>
      </c>
      <c r="D111" s="145"/>
      <c r="E111" s="168">
        <v>0</v>
      </c>
      <c r="F111" s="77" t="s">
        <v>229</v>
      </c>
      <c r="G111" s="23"/>
    </row>
    <row r="112" spans="1:7" hidden="1">
      <c r="A112" s="52"/>
      <c r="B112" s="86"/>
      <c r="C112" s="144" t="s">
        <v>304</v>
      </c>
      <c r="D112" s="145"/>
      <c r="E112" s="168">
        <v>5</v>
      </c>
      <c r="F112" s="351" t="s">
        <v>305</v>
      </c>
      <c r="G112" s="23"/>
    </row>
    <row r="113" spans="1:7" hidden="1">
      <c r="A113" s="52"/>
      <c r="B113" s="86"/>
      <c r="C113" s="144" t="s">
        <v>343</v>
      </c>
      <c r="D113" s="145"/>
      <c r="E113" s="168">
        <v>0.6</v>
      </c>
      <c r="F113" s="164"/>
      <c r="G113" s="23"/>
    </row>
    <row r="114" spans="1:7" hidden="1">
      <c r="A114" s="52"/>
      <c r="B114" s="86"/>
      <c r="C114" s="144" t="s">
        <v>344</v>
      </c>
      <c r="D114" s="145"/>
      <c r="E114" s="147">
        <v>8766</v>
      </c>
      <c r="F114" s="351" t="s">
        <v>345</v>
      </c>
      <c r="G114" s="23"/>
    </row>
    <row r="115" spans="1:7" hidden="1">
      <c r="A115" s="52"/>
      <c r="B115" s="86"/>
      <c r="C115" s="149" t="s">
        <v>337</v>
      </c>
      <c r="D115" s="145"/>
      <c r="E115" s="76">
        <f>(E111*E113)/(E114*E112)</f>
        <v>0</v>
      </c>
      <c r="F115" s="77" t="s">
        <v>229</v>
      </c>
      <c r="G115" s="23"/>
    </row>
    <row r="116" spans="1:7" hidden="1">
      <c r="A116" s="52"/>
      <c r="B116" s="86"/>
      <c r="C116" s="149" t="s">
        <v>282</v>
      </c>
      <c r="D116" s="145"/>
      <c r="E116" s="76">
        <f>E115*E114/12</f>
        <v>0</v>
      </c>
      <c r="F116" s="77" t="s">
        <v>229</v>
      </c>
      <c r="G116" s="23"/>
    </row>
    <row r="117" spans="1:7" hidden="1">
      <c r="A117" s="52"/>
      <c r="B117" s="86"/>
      <c r="C117" s="149" t="s">
        <v>315</v>
      </c>
      <c r="D117" s="145"/>
      <c r="E117" s="76">
        <f>E116*E110</f>
        <v>0</v>
      </c>
      <c r="F117" s="77" t="s">
        <v>229</v>
      </c>
      <c r="G117" s="23"/>
    </row>
    <row r="118" spans="1:7">
      <c r="A118" s="52"/>
      <c r="B118" s="86"/>
      <c r="C118" s="19"/>
      <c r="D118" s="19"/>
      <c r="E118" s="19"/>
      <c r="F118" s="93"/>
      <c r="G118" s="23"/>
    </row>
    <row r="119" spans="1:7">
      <c r="A119" s="52"/>
      <c r="B119" s="86"/>
      <c r="C119" s="19"/>
      <c r="D119" s="84" t="s">
        <v>346</v>
      </c>
      <c r="E119" s="76">
        <f>E106+E117</f>
        <v>546.875</v>
      </c>
      <c r="F119" s="77" t="s">
        <v>229</v>
      </c>
      <c r="G119" s="23"/>
    </row>
    <row r="120" spans="1:7">
      <c r="A120" s="52"/>
      <c r="B120" s="86"/>
      <c r="C120" s="19"/>
      <c r="D120" s="344" t="s">
        <v>347</v>
      </c>
      <c r="E120" s="171">
        <f>E8*E119</f>
        <v>6562.5</v>
      </c>
      <c r="F120" s="77" t="s">
        <v>229</v>
      </c>
      <c r="G120" s="23"/>
    </row>
    <row r="121" spans="1:7">
      <c r="A121" s="52"/>
      <c r="B121" s="86"/>
      <c r="C121" s="19"/>
      <c r="D121" s="19"/>
      <c r="E121" s="19"/>
      <c r="F121" s="93"/>
      <c r="G121" s="23"/>
    </row>
    <row r="122" spans="1:7" hidden="1">
      <c r="A122" s="52"/>
      <c r="B122" s="350" t="s">
        <v>533</v>
      </c>
      <c r="C122" s="19"/>
      <c r="D122" s="19"/>
      <c r="E122" s="19"/>
      <c r="F122" s="93"/>
      <c r="G122" s="23"/>
    </row>
    <row r="123" spans="1:7" hidden="1">
      <c r="A123" s="52"/>
      <c r="B123" s="86"/>
      <c r="C123" s="144" t="s">
        <v>325</v>
      </c>
      <c r="D123" s="145"/>
      <c r="E123" s="72" t="e">
        <f>#REF!</f>
        <v>#REF!</v>
      </c>
      <c r="F123" s="77" t="s">
        <v>301</v>
      </c>
      <c r="G123" s="23"/>
    </row>
    <row r="124" spans="1:7" hidden="1">
      <c r="A124" s="52"/>
      <c r="B124" s="86"/>
      <c r="C124" s="144" t="s">
        <v>303</v>
      </c>
      <c r="D124" s="145"/>
      <c r="E124" s="168">
        <f>E63</f>
        <v>0</v>
      </c>
      <c r="F124" s="77" t="s">
        <v>229</v>
      </c>
      <c r="G124" s="23"/>
    </row>
    <row r="125" spans="1:7" hidden="1">
      <c r="A125" s="52"/>
      <c r="B125" s="86"/>
      <c r="C125" s="144" t="s">
        <v>304</v>
      </c>
      <c r="D125" s="145"/>
      <c r="E125" s="168">
        <f>E64</f>
        <v>0</v>
      </c>
      <c r="F125" s="351" t="s">
        <v>305</v>
      </c>
      <c r="G125" s="23"/>
    </row>
    <row r="126" spans="1:7" hidden="1">
      <c r="A126" s="52"/>
      <c r="B126" s="86"/>
      <c r="C126" s="144" t="s">
        <v>343</v>
      </c>
      <c r="D126" s="145"/>
      <c r="E126" s="168">
        <v>0.4</v>
      </c>
      <c r="F126" s="164"/>
      <c r="G126" s="23"/>
    </row>
    <row r="127" spans="1:7" hidden="1">
      <c r="A127" s="52"/>
      <c r="B127" s="86"/>
      <c r="C127" s="144" t="s">
        <v>344</v>
      </c>
      <c r="D127" s="145"/>
      <c r="E127" s="169">
        <v>2504.64</v>
      </c>
      <c r="F127" s="351" t="s">
        <v>345</v>
      </c>
      <c r="G127" s="23"/>
    </row>
    <row r="128" spans="1:7" hidden="1">
      <c r="A128" s="52"/>
      <c r="B128" s="86"/>
      <c r="C128" s="149" t="s">
        <v>337</v>
      </c>
      <c r="D128" s="145"/>
      <c r="E128" s="76" t="e">
        <f>(E124*E126)/(E127*E125)</f>
        <v>#DIV/0!</v>
      </c>
      <c r="F128" s="77" t="s">
        <v>229</v>
      </c>
      <c r="G128" s="23"/>
    </row>
    <row r="129" spans="1:7" hidden="1">
      <c r="A129" s="52"/>
      <c r="B129" s="86"/>
      <c r="C129" s="149" t="s">
        <v>282</v>
      </c>
      <c r="D129" s="145"/>
      <c r="E129" s="76" t="e">
        <f>E128*E127/12</f>
        <v>#DIV/0!</v>
      </c>
      <c r="F129" s="77" t="s">
        <v>229</v>
      </c>
      <c r="G129" s="23"/>
    </row>
    <row r="130" spans="1:7" hidden="1">
      <c r="A130" s="52"/>
      <c r="B130" s="86"/>
      <c r="C130" s="149" t="s">
        <v>338</v>
      </c>
      <c r="D130" s="145"/>
      <c r="E130" s="76" t="e">
        <f>E129*E123</f>
        <v>#DIV/0!</v>
      </c>
      <c r="F130" s="77" t="s">
        <v>229</v>
      </c>
      <c r="G130" s="23"/>
    </row>
    <row r="131" spans="1:7" hidden="1">
      <c r="A131" s="52"/>
      <c r="B131" s="86"/>
      <c r="C131" s="19"/>
      <c r="D131" s="19"/>
      <c r="E131" s="19"/>
      <c r="F131" s="93"/>
      <c r="G131" s="23"/>
    </row>
    <row r="132" spans="1:7" hidden="1">
      <c r="A132" s="52"/>
      <c r="B132" s="86"/>
      <c r="C132" s="19"/>
      <c r="D132" s="84" t="s">
        <v>534</v>
      </c>
      <c r="E132" s="76" t="e">
        <f>E130+#REF!</f>
        <v>#DIV/0!</v>
      </c>
      <c r="F132" s="77" t="s">
        <v>229</v>
      </c>
      <c r="G132" s="23"/>
    </row>
    <row r="133" spans="1:7" hidden="1">
      <c r="A133" s="52"/>
      <c r="B133" s="86"/>
      <c r="C133" s="19"/>
      <c r="D133" s="344" t="s">
        <v>535</v>
      </c>
      <c r="E133" s="171" t="e">
        <f>#REF!*E132</f>
        <v>#REF!</v>
      </c>
      <c r="F133" s="77" t="s">
        <v>229</v>
      </c>
      <c r="G133" s="23"/>
    </row>
    <row r="134" spans="1:7" hidden="1">
      <c r="A134" s="52"/>
      <c r="B134" s="86"/>
      <c r="C134" s="19"/>
      <c r="D134" s="19"/>
      <c r="E134" s="19"/>
      <c r="F134" s="93"/>
      <c r="G134" s="23"/>
    </row>
    <row r="135" spans="1:7" hidden="1">
      <c r="A135" s="52"/>
      <c r="B135" s="86"/>
      <c r="C135" s="19"/>
      <c r="D135" s="84" t="s">
        <v>346</v>
      </c>
      <c r="E135" s="76" t="e">
        <f>E132+E119</f>
        <v>#DIV/0!</v>
      </c>
      <c r="F135" s="77" t="s">
        <v>229</v>
      </c>
      <c r="G135" s="23"/>
    </row>
    <row r="136" spans="1:7" hidden="1">
      <c r="A136" s="52"/>
      <c r="B136" s="86"/>
      <c r="C136" s="19"/>
      <c r="D136" s="344" t="s">
        <v>347</v>
      </c>
      <c r="E136" s="171" t="e">
        <f>E133+E120</f>
        <v>#REF!</v>
      </c>
      <c r="F136" s="77" t="s">
        <v>229</v>
      </c>
      <c r="G136" s="23"/>
    </row>
    <row r="137" spans="1:7" hidden="1">
      <c r="A137" s="52"/>
      <c r="B137" s="86"/>
      <c r="C137" s="19"/>
      <c r="D137" s="19"/>
      <c r="E137" s="19"/>
      <c r="F137" s="93"/>
      <c r="G137" s="23"/>
    </row>
    <row r="138" spans="1:7">
      <c r="A138" s="34"/>
      <c r="B138" s="86"/>
      <c r="C138" s="16" t="s">
        <v>353</v>
      </c>
      <c r="D138" s="74"/>
      <c r="E138" s="19"/>
      <c r="F138" s="93"/>
      <c r="G138" s="23"/>
    </row>
    <row r="139" spans="1:7">
      <c r="A139" s="52"/>
      <c r="B139" s="143"/>
      <c r="C139" s="17"/>
      <c r="D139" s="344" t="s">
        <v>354</v>
      </c>
      <c r="E139" s="172">
        <f>+E58+E93+E119</f>
        <v>1707.5624999999998</v>
      </c>
      <c r="F139" s="77" t="s">
        <v>229</v>
      </c>
      <c r="G139" s="23"/>
    </row>
    <row r="140" spans="1:7" ht="12" thickBot="1">
      <c r="A140" s="52"/>
      <c r="B140" s="174"/>
      <c r="C140" s="25"/>
      <c r="D140" s="353" t="s">
        <v>355</v>
      </c>
      <c r="E140" s="172">
        <f>E8*E139</f>
        <v>20490.749999999996</v>
      </c>
      <c r="F140" s="175" t="s">
        <v>229</v>
      </c>
      <c r="G140" s="29"/>
    </row>
    <row r="141" spans="1:7">
      <c r="B141" s="3"/>
      <c r="D141" s="40"/>
      <c r="F141" s="100"/>
    </row>
    <row r="142" spans="1:7">
      <c r="A142" s="783" t="s">
        <v>356</v>
      </c>
      <c r="B142" s="772"/>
      <c r="C142" s="772"/>
      <c r="D142" s="772"/>
      <c r="E142" s="772"/>
      <c r="F142" s="772"/>
      <c r="G142" s="772"/>
    </row>
    <row r="143" spans="1:7" ht="12" thickBot="1"/>
    <row r="144" spans="1:7" ht="12.75" customHeight="1">
      <c r="A144" s="52"/>
      <c r="B144" s="349" t="s">
        <v>565</v>
      </c>
      <c r="C144" s="13"/>
      <c r="D144" s="13"/>
      <c r="E144" s="13"/>
      <c r="F144" s="140"/>
      <c r="G144" s="14"/>
    </row>
    <row r="145" spans="1:7" ht="12.75" customHeight="1">
      <c r="B145" s="784" t="s">
        <v>367</v>
      </c>
      <c r="C145" s="785"/>
      <c r="D145" s="786"/>
      <c r="E145" s="142">
        <v>0.1</v>
      </c>
      <c r="F145" s="93"/>
      <c r="G145" s="23"/>
    </row>
    <row r="146" spans="1:7" ht="12.75" customHeight="1">
      <c r="B146" s="153"/>
      <c r="C146" s="19"/>
      <c r="D146" s="19"/>
      <c r="E146" s="77"/>
      <c r="F146" s="93"/>
      <c r="G146" s="23"/>
    </row>
    <row r="147" spans="1:7" ht="12.75" customHeight="1">
      <c r="B147" s="153"/>
      <c r="C147" s="144" t="s">
        <v>649</v>
      </c>
      <c r="D147" s="79"/>
      <c r="E147" s="72">
        <v>7</v>
      </c>
      <c r="F147" s="77"/>
      <c r="G147" s="23"/>
    </row>
    <row r="148" spans="1:7" ht="12.75" customHeight="1">
      <c r="B148" s="153"/>
      <c r="C148" s="149" t="s">
        <v>337</v>
      </c>
      <c r="D148" s="79"/>
      <c r="E148" s="76">
        <f>E145*E119</f>
        <v>54.6875</v>
      </c>
      <c r="F148" s="77"/>
      <c r="G148" s="23"/>
    </row>
    <row r="149" spans="1:7" ht="12" customHeight="1">
      <c r="B149" s="153"/>
      <c r="C149" s="354" t="s">
        <v>650</v>
      </c>
      <c r="D149" s="79"/>
      <c r="E149" s="76">
        <f>E148*E147</f>
        <v>382.8125</v>
      </c>
      <c r="F149" s="77"/>
      <c r="G149" s="23"/>
    </row>
    <row r="150" spans="1:7">
      <c r="B150" s="153"/>
      <c r="C150" s="19"/>
      <c r="D150" s="19"/>
      <c r="E150" s="77"/>
      <c r="F150" s="93"/>
      <c r="G150" s="23"/>
    </row>
    <row r="151" spans="1:7">
      <c r="A151" s="52"/>
      <c r="B151" s="143"/>
      <c r="C151" s="19"/>
      <c r="D151" s="19"/>
      <c r="E151" s="19"/>
      <c r="F151" s="93"/>
      <c r="G151" s="23"/>
    </row>
    <row r="152" spans="1:7">
      <c r="A152" s="3"/>
      <c r="B152" s="153"/>
      <c r="C152" s="16" t="s">
        <v>395</v>
      </c>
      <c r="D152" s="239"/>
      <c r="E152" s="74"/>
      <c r="F152" s="77"/>
      <c r="G152" s="23"/>
    </row>
    <row r="153" spans="1:7">
      <c r="A153" s="3"/>
      <c r="B153" s="153"/>
      <c r="C153" s="179"/>
      <c r="D153" s="344" t="s">
        <v>655</v>
      </c>
      <c r="E153" s="172">
        <f>E149</f>
        <v>382.8125</v>
      </c>
      <c r="F153" s="77" t="s">
        <v>229</v>
      </c>
      <c r="G153" s="23"/>
    </row>
    <row r="154" spans="1:7">
      <c r="B154" s="86"/>
      <c r="C154" s="180"/>
      <c r="D154" s="344" t="s">
        <v>355</v>
      </c>
      <c r="E154" s="172">
        <f>E8*E153</f>
        <v>4593.75</v>
      </c>
      <c r="F154" s="77" t="s">
        <v>229</v>
      </c>
      <c r="G154" s="23"/>
    </row>
    <row r="155" spans="1:7" ht="12" thickBot="1">
      <c r="A155" s="52"/>
      <c r="B155" s="125"/>
      <c r="C155" s="48"/>
      <c r="D155" s="48"/>
      <c r="E155" s="126"/>
      <c r="F155" s="127"/>
      <c r="G155" s="29"/>
    </row>
    <row r="156" spans="1:7" ht="12" thickBot="1">
      <c r="A156" s="52"/>
      <c r="B156" s="78"/>
      <c r="C156" s="19"/>
      <c r="D156" s="19"/>
      <c r="E156" s="93"/>
      <c r="F156" s="80"/>
      <c r="G156" s="23"/>
    </row>
    <row r="157" spans="1:7">
      <c r="A157" s="52"/>
      <c r="B157" s="78"/>
      <c r="C157" s="128"/>
      <c r="D157" s="129"/>
      <c r="E157" s="129"/>
      <c r="F157" s="130"/>
      <c r="G157" s="23"/>
    </row>
    <row r="158" spans="1:7">
      <c r="A158" s="52"/>
      <c r="B158" s="78"/>
      <c r="C158" s="347" t="s">
        <v>396</v>
      </c>
      <c r="D158" s="132"/>
      <c r="E158" s="76">
        <f>E139+E153</f>
        <v>2090.375</v>
      </c>
      <c r="F158" s="133" t="s">
        <v>229</v>
      </c>
      <c r="G158" s="23"/>
    </row>
    <row r="159" spans="1:7">
      <c r="A159" s="52"/>
      <c r="B159" s="78"/>
      <c r="C159" s="134"/>
      <c r="D159" s="132"/>
      <c r="E159" s="132"/>
      <c r="F159" s="135"/>
      <c r="G159" s="23"/>
    </row>
    <row r="160" spans="1:7" ht="12" thickBot="1">
      <c r="A160" s="52"/>
      <c r="B160" s="78"/>
      <c r="C160" s="136"/>
      <c r="D160" s="137"/>
      <c r="E160" s="137"/>
      <c r="F160" s="138"/>
      <c r="G160" s="23"/>
    </row>
    <row r="161" spans="1:7" ht="12" thickBot="1">
      <c r="A161" s="52"/>
      <c r="B161" s="125"/>
      <c r="C161" s="48"/>
      <c r="D161" s="48"/>
      <c r="E161" s="126"/>
      <c r="F161" s="127"/>
      <c r="G161" s="29"/>
    </row>
    <row r="162" spans="1:7" ht="12" thickBot="1">
      <c r="A162" s="52"/>
      <c r="B162" s="78"/>
      <c r="C162" s="19"/>
      <c r="D162" s="19"/>
      <c r="E162" s="93"/>
      <c r="F162" s="80"/>
      <c r="G162" s="23"/>
    </row>
    <row r="163" spans="1:7">
      <c r="A163" s="52"/>
      <c r="B163" s="78"/>
      <c r="C163" s="128"/>
      <c r="D163" s="129"/>
      <c r="E163" s="129"/>
      <c r="F163" s="130"/>
      <c r="G163" s="23"/>
    </row>
    <row r="164" spans="1:7">
      <c r="A164" s="52"/>
      <c r="B164" s="86"/>
      <c r="C164" s="347" t="s">
        <v>545</v>
      </c>
      <c r="D164" s="132"/>
      <c r="E164" s="76">
        <f>+E33+E158</f>
        <v>28516.823003999998</v>
      </c>
      <c r="F164" s="133" t="s">
        <v>229</v>
      </c>
      <c r="G164" s="112"/>
    </row>
    <row r="165" spans="1:7">
      <c r="B165" s="86"/>
      <c r="C165" s="134"/>
      <c r="D165" s="132"/>
      <c r="E165" s="132"/>
      <c r="F165" s="135"/>
      <c r="G165" s="23"/>
    </row>
    <row r="166" spans="1:7" ht="12" thickBot="1">
      <c r="A166" s="52"/>
      <c r="B166" s="86"/>
      <c r="C166" s="136"/>
      <c r="D166" s="137"/>
      <c r="E166" s="137"/>
      <c r="F166" s="138"/>
      <c r="G166" s="23"/>
    </row>
    <row r="167" spans="1:7" ht="12" thickBot="1">
      <c r="A167" s="52"/>
      <c r="B167" s="139"/>
      <c r="C167" s="48"/>
      <c r="D167" s="48"/>
      <c r="E167" s="48"/>
      <c r="F167" s="127"/>
      <c r="G167" s="29"/>
    </row>
    <row r="168" spans="1:7" hidden="1">
      <c r="A168" s="52"/>
      <c r="B168" s="52"/>
      <c r="C168" s="3"/>
      <c r="E168" s="181"/>
      <c r="F168" s="115"/>
    </row>
    <row r="169" spans="1:7" ht="13.8" hidden="1">
      <c r="A169" s="757" t="s">
        <v>402</v>
      </c>
      <c r="B169" s="758"/>
      <c r="C169" s="758"/>
      <c r="D169" s="758"/>
      <c r="E169" s="758"/>
      <c r="F169" s="758"/>
      <c r="G169" s="758"/>
    </row>
    <row r="170" spans="1:7" hidden="1">
      <c r="A170" s="34"/>
    </row>
    <row r="171" spans="1:7" hidden="1">
      <c r="A171" s="34"/>
      <c r="B171" s="182"/>
      <c r="C171" s="13"/>
      <c r="D171" s="13"/>
      <c r="E171" s="13"/>
      <c r="F171" s="13"/>
      <c r="G171" s="14"/>
    </row>
    <row r="172" spans="1:7" hidden="1">
      <c r="A172" s="34"/>
      <c r="B172" s="78"/>
      <c r="C172" s="19"/>
      <c r="D172" s="82" t="s">
        <v>223</v>
      </c>
      <c r="E172" s="82" t="s">
        <v>403</v>
      </c>
      <c r="F172" s="82" t="s">
        <v>277</v>
      </c>
      <c r="G172" s="23"/>
    </row>
    <row r="173" spans="1:7" hidden="1">
      <c r="B173" s="78"/>
      <c r="C173" s="79"/>
      <c r="D173" s="108">
        <v>0</v>
      </c>
      <c r="E173" s="71">
        <v>0</v>
      </c>
      <c r="F173" s="71">
        <f>+E173*D173</f>
        <v>0</v>
      </c>
      <c r="G173" s="183"/>
    </row>
    <row r="174" spans="1:7" hidden="1">
      <c r="B174" s="78"/>
      <c r="C174" s="79"/>
      <c r="D174" s="108">
        <v>0</v>
      </c>
      <c r="E174" s="71">
        <v>0</v>
      </c>
      <c r="F174" s="71">
        <f>D174*E174</f>
        <v>0</v>
      </c>
      <c r="G174" s="23"/>
    </row>
    <row r="175" spans="1:7" hidden="1">
      <c r="B175" s="78"/>
      <c r="C175" s="84" t="s">
        <v>404</v>
      </c>
      <c r="D175" s="184">
        <f>SUM(D173:D174)</f>
        <v>0</v>
      </c>
      <c r="E175" s="185"/>
      <c r="F175" s="76">
        <f>SUM(F173:F174)</f>
        <v>0</v>
      </c>
      <c r="G175" s="112" t="s">
        <v>229</v>
      </c>
    </row>
    <row r="176" spans="1:7" hidden="1">
      <c r="B176" s="78"/>
      <c r="C176" s="355" t="s">
        <v>405</v>
      </c>
      <c r="D176" s="186">
        <f>'DADOS DE ENTRADA'!B35</f>
        <v>0.80840000000000001</v>
      </c>
      <c r="E176" s="71">
        <f>F175</f>
        <v>0</v>
      </c>
      <c r="F176" s="71">
        <f>ROUND(D176*E176,2)</f>
        <v>0</v>
      </c>
      <c r="G176" s="23"/>
    </row>
    <row r="177" spans="1:7" hidden="1">
      <c r="B177" s="78"/>
      <c r="C177" s="19"/>
      <c r="D177" s="84"/>
      <c r="E177" s="344" t="s">
        <v>406</v>
      </c>
      <c r="F177" s="76">
        <f>+F176+F175</f>
        <v>0</v>
      </c>
      <c r="G177" s="112" t="s">
        <v>229</v>
      </c>
    </row>
    <row r="178" spans="1:7" hidden="1">
      <c r="B178" s="78"/>
      <c r="C178" s="19"/>
      <c r="D178" s="19"/>
      <c r="E178" s="93"/>
      <c r="F178" s="80"/>
      <c r="G178" s="23"/>
    </row>
    <row r="179" spans="1:7" hidden="1">
      <c r="B179" s="86"/>
      <c r="C179" s="128"/>
      <c r="D179" s="129"/>
      <c r="E179" s="129"/>
      <c r="F179" s="130"/>
      <c r="G179" s="112"/>
    </row>
    <row r="180" spans="1:7" hidden="1">
      <c r="A180" s="52"/>
      <c r="B180" s="86"/>
      <c r="C180" s="347" t="s">
        <v>407</v>
      </c>
      <c r="D180" s="132"/>
      <c r="E180" s="76">
        <f>F177</f>
        <v>0</v>
      </c>
      <c r="F180" s="133" t="s">
        <v>229</v>
      </c>
      <c r="G180" s="23"/>
    </row>
    <row r="181" spans="1:7" hidden="1">
      <c r="A181" s="3"/>
      <c r="B181" s="86"/>
      <c r="C181" s="134" t="s">
        <v>408</v>
      </c>
      <c r="D181" s="132"/>
      <c r="E181" s="132"/>
      <c r="F181" s="135"/>
      <c r="G181" s="23"/>
    </row>
    <row r="182" spans="1:7" hidden="1">
      <c r="A182" s="52"/>
      <c r="B182" s="86"/>
      <c r="C182" s="347" t="s">
        <v>409</v>
      </c>
      <c r="D182" s="132"/>
      <c r="E182" s="76">
        <f>+E180*E8</f>
        <v>0</v>
      </c>
      <c r="F182" s="133" t="s">
        <v>229</v>
      </c>
      <c r="G182" s="23"/>
    </row>
    <row r="183" spans="1:7" ht="12" hidden="1" thickBot="1">
      <c r="A183" s="52"/>
      <c r="B183" s="86"/>
      <c r="C183" s="136" t="s">
        <v>408</v>
      </c>
      <c r="D183" s="137"/>
      <c r="E183" s="137"/>
      <c r="F183" s="138"/>
      <c r="G183" s="112"/>
    </row>
    <row r="184" spans="1:7" ht="12" hidden="1" thickBot="1">
      <c r="A184" s="3"/>
      <c r="B184" s="139"/>
      <c r="C184" s="48"/>
      <c r="D184" s="48"/>
      <c r="E184" s="48"/>
      <c r="F184" s="127"/>
      <c r="G184" s="29"/>
    </row>
    <row r="185" spans="1:7" hidden="1">
      <c r="B185" s="3"/>
      <c r="F185" s="100"/>
    </row>
    <row r="186" spans="1:7" ht="13.8" hidden="1">
      <c r="A186" s="757" t="s">
        <v>410</v>
      </c>
      <c r="B186" s="758"/>
      <c r="C186" s="758"/>
      <c r="D186" s="758"/>
      <c r="E186" s="758"/>
      <c r="F186" s="758"/>
      <c r="G186" s="758"/>
    </row>
    <row r="187" spans="1:7" ht="13.8" hidden="1">
      <c r="A187" s="187"/>
      <c r="B187" s="187"/>
      <c r="C187" s="187"/>
      <c r="D187" s="187"/>
      <c r="E187" s="187"/>
      <c r="F187" s="187"/>
      <c r="G187" s="187"/>
    </row>
    <row r="188" spans="1:7" hidden="1">
      <c r="A188" s="199"/>
      <c r="B188" s="188"/>
      <c r="C188" s="33" t="s">
        <v>166</v>
      </c>
      <c r="D188" s="189"/>
      <c r="E188" s="190"/>
      <c r="F188" s="33" t="s">
        <v>166</v>
      </c>
      <c r="G188" s="14"/>
    </row>
    <row r="189" spans="1:7" hidden="1">
      <c r="A189" s="199"/>
      <c r="B189" s="146" t="s">
        <v>411</v>
      </c>
      <c r="C189" s="191">
        <v>0</v>
      </c>
      <c r="D189" s="77"/>
      <c r="E189" s="192" t="s">
        <v>411</v>
      </c>
      <c r="F189" s="191">
        <v>0</v>
      </c>
      <c r="G189" s="23"/>
    </row>
    <row r="190" spans="1:7" hidden="1">
      <c r="A190" s="199"/>
      <c r="B190" s="146" t="s">
        <v>412</v>
      </c>
      <c r="C190" s="193">
        <v>0</v>
      </c>
      <c r="D190" s="77" t="s">
        <v>229</v>
      </c>
      <c r="E190" s="192" t="s">
        <v>412</v>
      </c>
      <c r="F190" s="193">
        <v>0</v>
      </c>
      <c r="G190" s="194"/>
    </row>
    <row r="191" spans="1:7" hidden="1">
      <c r="A191" s="199"/>
      <c r="B191" s="146" t="s">
        <v>413</v>
      </c>
      <c r="C191" s="195"/>
      <c r="D191" s="77" t="s">
        <v>414</v>
      </c>
      <c r="E191" s="192" t="s">
        <v>413</v>
      </c>
      <c r="F191" s="195"/>
      <c r="G191" s="23"/>
    </row>
    <row r="192" spans="1:7" hidden="1">
      <c r="B192" s="146" t="s">
        <v>415</v>
      </c>
      <c r="C192" s="196"/>
      <c r="D192" s="77" t="s">
        <v>390</v>
      </c>
      <c r="E192" s="192" t="s">
        <v>415</v>
      </c>
      <c r="F192" s="196"/>
      <c r="G192" s="23"/>
    </row>
    <row r="193" spans="1:7" hidden="1">
      <c r="A193" s="91"/>
      <c r="B193" s="146" t="s">
        <v>416</v>
      </c>
      <c r="C193" s="196"/>
      <c r="D193" s="77" t="s">
        <v>390</v>
      </c>
      <c r="E193" s="192" t="s">
        <v>416</v>
      </c>
      <c r="F193" s="196"/>
      <c r="G193" s="23"/>
    </row>
    <row r="194" spans="1:7" hidden="1">
      <c r="B194" s="146" t="s">
        <v>417</v>
      </c>
      <c r="C194" s="196"/>
      <c r="D194" s="77" t="s">
        <v>418</v>
      </c>
      <c r="E194" s="192" t="s">
        <v>417</v>
      </c>
      <c r="F194" s="196"/>
      <c r="G194" s="23"/>
    </row>
    <row r="195" spans="1:7" hidden="1">
      <c r="B195" s="146" t="s">
        <v>419</v>
      </c>
      <c r="C195" s="196"/>
      <c r="D195" s="77" t="s">
        <v>390</v>
      </c>
      <c r="E195" s="192" t="s">
        <v>419</v>
      </c>
      <c r="F195" s="196"/>
      <c r="G195" s="23"/>
    </row>
    <row r="196" spans="1:7" hidden="1">
      <c r="B196" s="146" t="s">
        <v>420</v>
      </c>
      <c r="C196" s="163"/>
      <c r="D196" s="77" t="s">
        <v>387</v>
      </c>
      <c r="E196" s="192" t="s">
        <v>420</v>
      </c>
      <c r="F196" s="163"/>
      <c r="G196" s="23"/>
    </row>
    <row r="197" spans="1:7" hidden="1">
      <c r="B197" s="146" t="s">
        <v>421</v>
      </c>
      <c r="C197" s="191">
        <v>0</v>
      </c>
      <c r="D197" s="77" t="s">
        <v>361</v>
      </c>
      <c r="E197" s="192" t="s">
        <v>421</v>
      </c>
      <c r="F197" s="191">
        <v>0</v>
      </c>
      <c r="G197" s="23"/>
    </row>
    <row r="198" spans="1:7" hidden="1">
      <c r="B198" s="146" t="s">
        <v>422</v>
      </c>
      <c r="C198" s="168">
        <v>0</v>
      </c>
      <c r="D198" s="77" t="s">
        <v>369</v>
      </c>
      <c r="E198" s="192" t="s">
        <v>422</v>
      </c>
      <c r="F198" s="168">
        <v>0</v>
      </c>
      <c r="G198" s="23"/>
    </row>
    <row r="199" spans="1:7" hidden="1">
      <c r="B199" s="146" t="s">
        <v>423</v>
      </c>
      <c r="C199" s="193">
        <v>4</v>
      </c>
      <c r="D199" s="77" t="s">
        <v>359</v>
      </c>
      <c r="E199" s="192" t="s">
        <v>423</v>
      </c>
      <c r="F199" s="193">
        <f>'DADOS DE ENTRADA'!H27</f>
        <v>7.33</v>
      </c>
      <c r="G199" s="23"/>
    </row>
    <row r="200" spans="1:7" hidden="1">
      <c r="B200" s="146" t="s">
        <v>424</v>
      </c>
      <c r="C200" s="168"/>
      <c r="D200" s="77" t="s">
        <v>361</v>
      </c>
      <c r="E200" s="192" t="s">
        <v>424</v>
      </c>
      <c r="F200" s="168"/>
      <c r="G200" s="23"/>
    </row>
    <row r="201" spans="1:7" hidden="1">
      <c r="A201" s="241"/>
      <c r="B201" s="146" t="s">
        <v>425</v>
      </c>
      <c r="C201" s="196"/>
      <c r="D201" s="77" t="s">
        <v>229</v>
      </c>
      <c r="E201" s="192" t="s">
        <v>425</v>
      </c>
      <c r="F201" s="196"/>
      <c r="G201" s="23"/>
    </row>
    <row r="202" spans="1:7" hidden="1">
      <c r="B202" s="146" t="s">
        <v>426</v>
      </c>
      <c r="C202" s="168"/>
      <c r="D202" s="77" t="s">
        <v>229</v>
      </c>
      <c r="E202" s="192" t="s">
        <v>426</v>
      </c>
      <c r="F202" s="168"/>
      <c r="G202" s="23"/>
    </row>
    <row r="203" spans="1:7" hidden="1">
      <c r="B203" s="146" t="s">
        <v>427</v>
      </c>
      <c r="C203" s="168"/>
      <c r="D203" s="77" t="s">
        <v>229</v>
      </c>
      <c r="E203" s="192" t="s">
        <v>427</v>
      </c>
      <c r="F203" s="168"/>
      <c r="G203" s="23"/>
    </row>
    <row r="204" spans="1:7" hidden="1">
      <c r="B204" s="141" t="s">
        <v>428</v>
      </c>
      <c r="C204" s="168">
        <f>+(C189*C190)*(C194/100)/12</f>
        <v>0</v>
      </c>
      <c r="D204" s="77" t="s">
        <v>229</v>
      </c>
      <c r="E204" s="192" t="s">
        <v>429</v>
      </c>
      <c r="F204" s="168">
        <f>+(F189*F190)*(F194/100)/12</f>
        <v>0</v>
      </c>
      <c r="G204" s="23"/>
    </row>
    <row r="205" spans="1:7" hidden="1">
      <c r="B205" s="146" t="s">
        <v>430</v>
      </c>
      <c r="C205" s="168">
        <f>ROUND(+(C189*C190)*(C195/100)/12,2)</f>
        <v>0</v>
      </c>
      <c r="D205" s="77" t="s">
        <v>229</v>
      </c>
      <c r="E205" s="192" t="s">
        <v>431</v>
      </c>
      <c r="F205" s="168">
        <f>ROUND(+(F189*F190)*(F195/100)/12,2)</f>
        <v>0</v>
      </c>
      <c r="G205" s="23"/>
    </row>
    <row r="206" spans="1:7" hidden="1">
      <c r="A206" s="241"/>
      <c r="B206" s="197" t="s">
        <v>432</v>
      </c>
      <c r="C206" s="150">
        <f>C190</f>
        <v>0</v>
      </c>
      <c r="D206" s="77" t="s">
        <v>229</v>
      </c>
      <c r="E206" s="198" t="s">
        <v>432</v>
      </c>
      <c r="F206" s="150">
        <f>F190</f>
        <v>0</v>
      </c>
      <c r="G206" s="23"/>
    </row>
    <row r="207" spans="1:7" hidden="1">
      <c r="B207" s="146" t="s">
        <v>433</v>
      </c>
      <c r="C207" s="168">
        <v>0</v>
      </c>
      <c r="D207" s="77" t="s">
        <v>229</v>
      </c>
      <c r="E207" s="192" t="s">
        <v>433</v>
      </c>
      <c r="F207" s="168">
        <f>F198*F199</f>
        <v>0</v>
      </c>
      <c r="G207" s="23"/>
    </row>
    <row r="208" spans="1:7" hidden="1">
      <c r="B208" s="146" t="s">
        <v>434</v>
      </c>
      <c r="C208" s="168">
        <v>0</v>
      </c>
      <c r="D208" s="77" t="s">
        <v>229</v>
      </c>
      <c r="E208" s="192" t="s">
        <v>434</v>
      </c>
      <c r="F208" s="168">
        <f>ROUND(+F196*F197,2)</f>
        <v>0</v>
      </c>
      <c r="G208" s="23"/>
    </row>
    <row r="209" spans="1:7" hidden="1">
      <c r="B209" s="146" t="s">
        <v>435</v>
      </c>
      <c r="C209" s="168">
        <v>0</v>
      </c>
      <c r="D209" s="77" t="s">
        <v>229</v>
      </c>
      <c r="E209" s="192" t="s">
        <v>435</v>
      </c>
      <c r="F209" s="168"/>
      <c r="G209" s="23"/>
    </row>
    <row r="210" spans="1:7" hidden="1">
      <c r="A210" s="199"/>
      <c r="B210" s="197" t="s">
        <v>436</v>
      </c>
      <c r="C210" s="168">
        <v>0</v>
      </c>
      <c r="D210" s="77" t="s">
        <v>229</v>
      </c>
      <c r="E210" s="198" t="s">
        <v>436</v>
      </c>
      <c r="F210" s="150">
        <f>SUM(F207:F209)</f>
        <v>0</v>
      </c>
      <c r="G210" s="23"/>
    </row>
    <row r="211" spans="1:7" hidden="1">
      <c r="A211" s="199"/>
      <c r="B211" s="350" t="s">
        <v>437</v>
      </c>
      <c r="C211" s="76">
        <f>(+C206+C210)*C189</f>
        <v>0</v>
      </c>
      <c r="D211" s="77" t="s">
        <v>229</v>
      </c>
      <c r="E211" s="77"/>
      <c r="F211" s="76">
        <f>(+F206+F210)*F189</f>
        <v>0</v>
      </c>
      <c r="G211" s="23" t="str">
        <f>D211</f>
        <v>(R$)</v>
      </c>
    </row>
    <row r="212" spans="1:7" hidden="1">
      <c r="A212" s="199"/>
      <c r="B212" s="143"/>
      <c r="C212" s="84"/>
      <c r="D212" s="93"/>
      <c r="E212" s="145"/>
      <c r="F212" s="145"/>
      <c r="G212" s="23"/>
    </row>
    <row r="213" spans="1:7" hidden="1">
      <c r="A213" s="199"/>
      <c r="B213" s="143"/>
      <c r="C213" s="84"/>
      <c r="D213" s="344" t="s">
        <v>438</v>
      </c>
      <c r="E213" s="76">
        <f>C211+F211</f>
        <v>0</v>
      </c>
      <c r="F213" s="145"/>
      <c r="G213" s="23"/>
    </row>
    <row r="214" spans="1:7" hidden="1">
      <c r="A214" s="199"/>
      <c r="B214" s="86"/>
      <c r="C214" s="84"/>
      <c r="D214" s="344" t="s">
        <v>439</v>
      </c>
      <c r="E214" s="76">
        <f>E213*E8</f>
        <v>0</v>
      </c>
      <c r="F214" s="77" t="s">
        <v>229</v>
      </c>
      <c r="G214" s="23"/>
    </row>
    <row r="215" spans="1:7" hidden="1">
      <c r="A215" s="199"/>
      <c r="B215" s="143"/>
      <c r="C215" s="84"/>
      <c r="D215" s="93"/>
      <c r="E215" s="145"/>
      <c r="F215" s="145"/>
      <c r="G215" s="23"/>
    </row>
    <row r="216" spans="1:7" hidden="1">
      <c r="B216" s="86"/>
      <c r="C216" s="128"/>
      <c r="D216" s="129"/>
      <c r="E216" s="129"/>
      <c r="F216" s="130"/>
      <c r="G216" s="23"/>
    </row>
    <row r="217" spans="1:7" hidden="1">
      <c r="B217" s="86"/>
      <c r="C217" s="131" t="s">
        <v>440</v>
      </c>
      <c r="D217" s="132"/>
      <c r="E217" s="76">
        <v>0</v>
      </c>
      <c r="F217" s="133" t="s">
        <v>229</v>
      </c>
      <c r="G217" s="112"/>
    </row>
    <row r="218" spans="1:7" hidden="1">
      <c r="A218" s="52"/>
      <c r="B218" s="86"/>
      <c r="C218" s="134" t="s">
        <v>441</v>
      </c>
      <c r="D218" s="132"/>
      <c r="E218" s="132"/>
      <c r="F218" s="135"/>
      <c r="G218" s="23"/>
    </row>
    <row r="219" spans="1:7" hidden="1">
      <c r="A219" s="52"/>
      <c r="B219" s="86"/>
      <c r="C219" s="131" t="s">
        <v>442</v>
      </c>
      <c r="D219" s="132"/>
      <c r="E219" s="76">
        <f>+E217*E8</f>
        <v>0</v>
      </c>
      <c r="F219" s="133" t="s">
        <v>229</v>
      </c>
      <c r="G219" s="92"/>
    </row>
    <row r="220" spans="1:7" ht="12" hidden="1" thickBot="1">
      <c r="A220" s="3"/>
      <c r="B220" s="86"/>
      <c r="C220" s="136" t="s">
        <v>443</v>
      </c>
      <c r="D220" s="137"/>
      <c r="E220" s="137"/>
      <c r="F220" s="138"/>
      <c r="G220" s="112"/>
    </row>
    <row r="221" spans="1:7" ht="12" hidden="1" thickBot="1">
      <c r="A221" s="52"/>
      <c r="B221" s="139"/>
      <c r="C221" s="26"/>
      <c r="D221" s="48"/>
      <c r="E221" s="126"/>
      <c r="F221" s="126"/>
      <c r="G221" s="29"/>
    </row>
    <row r="222" spans="1:7">
      <c r="A222" s="3"/>
      <c r="B222" s="3"/>
      <c r="C222" s="34"/>
      <c r="E222" s="100"/>
      <c r="F222" s="254"/>
      <c r="G222" s="115"/>
    </row>
    <row r="223" spans="1:7" ht="13.8">
      <c r="A223" s="757" t="s">
        <v>444</v>
      </c>
      <c r="B223" s="758"/>
      <c r="C223" s="758"/>
      <c r="D223" s="758"/>
      <c r="E223" s="758"/>
      <c r="F223" s="758"/>
      <c r="G223" s="758"/>
    </row>
    <row r="224" spans="1:7" ht="12" thickBot="1">
      <c r="A224" s="3"/>
      <c r="D224" s="199"/>
      <c r="F224" s="200"/>
    </row>
    <row r="225" spans="1:7">
      <c r="A225" s="3"/>
      <c r="B225" s="43" t="s">
        <v>445</v>
      </c>
      <c r="C225" s="44"/>
      <c r="D225" s="44"/>
      <c r="E225" s="44"/>
      <c r="F225" s="44"/>
      <c r="G225" s="201"/>
    </row>
    <row r="226" spans="1:7">
      <c r="A226" s="3"/>
      <c r="B226" s="202"/>
      <c r="C226" s="22"/>
      <c r="D226" s="22"/>
      <c r="E226" s="22"/>
      <c r="F226" s="22"/>
      <c r="G226" s="23"/>
    </row>
    <row r="227" spans="1:7">
      <c r="A227" s="3"/>
      <c r="B227" s="202"/>
      <c r="C227" s="22"/>
      <c r="D227" s="22"/>
      <c r="E227" s="22"/>
      <c r="F227" s="22"/>
      <c r="G227" s="23"/>
    </row>
    <row r="228" spans="1:7">
      <c r="A228" s="3"/>
      <c r="B228" s="202"/>
      <c r="C228" s="22"/>
      <c r="D228" s="22"/>
      <c r="E228" s="22"/>
      <c r="F228" s="22"/>
      <c r="G228" s="23"/>
    </row>
    <row r="229" spans="1:7">
      <c r="A229" s="3"/>
      <c r="B229" s="202"/>
      <c r="C229" s="22"/>
      <c r="D229" s="22"/>
      <c r="E229" s="22"/>
      <c r="F229" s="22"/>
      <c r="G229" s="23"/>
    </row>
    <row r="230" spans="1:7" ht="13.5" customHeight="1">
      <c r="A230" s="3"/>
      <c r="B230" s="202"/>
      <c r="C230" s="22"/>
      <c r="D230" s="22"/>
      <c r="E230" s="22"/>
      <c r="F230" s="22"/>
      <c r="G230" s="23"/>
    </row>
    <row r="231" spans="1:7" ht="13.5" customHeight="1">
      <c r="A231" s="3"/>
      <c r="B231" s="202"/>
      <c r="C231" s="22"/>
      <c r="D231" s="22"/>
      <c r="E231" s="22"/>
      <c r="F231" s="22"/>
      <c r="G231" s="23"/>
    </row>
    <row r="232" spans="1:7" ht="13.5" customHeight="1">
      <c r="A232" s="3"/>
      <c r="B232" s="202"/>
      <c r="C232" s="22"/>
      <c r="D232" s="22"/>
      <c r="E232" s="22"/>
      <c r="F232" s="22"/>
      <c r="G232" s="23"/>
    </row>
    <row r="233" spans="1:7" ht="13.5" customHeight="1">
      <c r="A233" s="3"/>
      <c r="B233" s="202"/>
      <c r="C233" s="777" t="s">
        <v>446</v>
      </c>
      <c r="D233" s="203" t="s">
        <v>109</v>
      </c>
      <c r="E233" s="204">
        <v>1.6500000000000001E-2</v>
      </c>
      <c r="F233" s="22"/>
      <c r="G233" s="23"/>
    </row>
    <row r="234" spans="1:7" ht="13.5" customHeight="1">
      <c r="A234" s="3"/>
      <c r="B234" s="202"/>
      <c r="C234" s="778"/>
      <c r="D234" s="203" t="s">
        <v>112</v>
      </c>
      <c r="E234" s="204">
        <v>7.5999999999999998E-2</v>
      </c>
      <c r="F234" s="22"/>
      <c r="G234" s="23"/>
    </row>
    <row r="235" spans="1:7" ht="13.5" customHeight="1">
      <c r="A235" s="3"/>
      <c r="B235" s="202"/>
      <c r="C235" s="778"/>
      <c r="D235" s="203" t="s">
        <v>115</v>
      </c>
      <c r="E235" s="204">
        <v>0.05</v>
      </c>
      <c r="F235" s="22"/>
      <c r="G235" s="23"/>
    </row>
    <row r="236" spans="1:7" ht="13.5" customHeight="1">
      <c r="A236" s="3"/>
      <c r="B236" s="202"/>
      <c r="C236" s="773" t="s">
        <v>447</v>
      </c>
      <c r="D236" s="773"/>
      <c r="E236" s="205">
        <f>SUM(E233:E235)</f>
        <v>0.14250000000000002</v>
      </c>
      <c r="F236" s="22"/>
      <c r="G236" s="23"/>
    </row>
    <row r="237" spans="1:7" ht="13.5" customHeight="1">
      <c r="A237" s="3"/>
      <c r="B237" s="95"/>
      <c r="C237" s="781" t="s">
        <v>448</v>
      </c>
      <c r="D237" s="782"/>
      <c r="E237" s="204">
        <v>3.4299999999999997E-2</v>
      </c>
      <c r="F237" s="22"/>
      <c r="G237" s="23"/>
    </row>
    <row r="238" spans="1:7" ht="13.5" customHeight="1">
      <c r="A238" s="3"/>
      <c r="B238" s="95"/>
      <c r="C238" s="773" t="s">
        <v>449</v>
      </c>
      <c r="D238" s="773"/>
      <c r="E238" s="204">
        <v>0.01</v>
      </c>
      <c r="F238" s="22"/>
      <c r="G238" s="23"/>
    </row>
    <row r="239" spans="1:7" ht="13.5" customHeight="1">
      <c r="A239" s="3"/>
      <c r="B239" s="78"/>
      <c r="C239" s="773" t="s">
        <v>450</v>
      </c>
      <c r="D239" s="773"/>
      <c r="E239" s="204">
        <v>4.8999999999999998E-3</v>
      </c>
      <c r="F239" s="22"/>
      <c r="G239" s="23"/>
    </row>
    <row r="240" spans="1:7" ht="13.5" customHeight="1">
      <c r="A240" s="3"/>
      <c r="B240" s="78"/>
      <c r="C240" s="773" t="s">
        <v>451</v>
      </c>
      <c r="D240" s="773"/>
      <c r="E240" s="204">
        <v>9.4000000000000004E-3</v>
      </c>
      <c r="F240" s="22"/>
      <c r="G240" s="23"/>
    </row>
    <row r="241" spans="1:7" ht="13.5" customHeight="1">
      <c r="A241" s="3"/>
      <c r="B241" s="95"/>
      <c r="C241" s="773" t="s">
        <v>452</v>
      </c>
      <c r="D241" s="773"/>
      <c r="E241" s="204">
        <v>8.5000000000000006E-2</v>
      </c>
      <c r="F241" s="22"/>
      <c r="G241" s="23"/>
    </row>
    <row r="242" spans="1:7" ht="13.5" customHeight="1">
      <c r="A242" s="3"/>
      <c r="B242" s="202"/>
      <c r="C242" s="774" t="s">
        <v>453</v>
      </c>
      <c r="D242" s="774"/>
      <c r="E242" s="255">
        <f>((1+E237+E238+E239)*(1+E240)*(1+E241))/(1-E236)-1</f>
        <v>0.34003823999999994</v>
      </c>
      <c r="F242" s="22"/>
      <c r="G242" s="23"/>
    </row>
    <row r="243" spans="1:7" ht="13.5" customHeight="1" thickBot="1">
      <c r="A243" s="3"/>
      <c r="B243" s="206"/>
      <c r="C243" s="207"/>
      <c r="D243" s="207"/>
      <c r="E243" s="207"/>
      <c r="F243" s="207"/>
      <c r="G243" s="208"/>
    </row>
    <row r="244" spans="1:7" ht="13.5" customHeight="1">
      <c r="A244" s="3"/>
      <c r="B244" s="182"/>
      <c r="C244" s="12"/>
      <c r="D244" s="12"/>
      <c r="E244" s="44"/>
      <c r="F244" s="44"/>
      <c r="G244" s="201"/>
    </row>
    <row r="245" spans="1:7" ht="13.5" customHeight="1">
      <c r="A245" s="52"/>
      <c r="B245" s="95"/>
      <c r="C245" s="19"/>
      <c r="D245" s="17" t="s">
        <v>647</v>
      </c>
      <c r="E245" s="76">
        <f>F29</f>
        <v>26426.448003999998</v>
      </c>
      <c r="F245" s="145" t="s">
        <v>340</v>
      </c>
      <c r="G245" s="23"/>
    </row>
    <row r="246" spans="1:7" ht="25.95" customHeight="1">
      <c r="A246" s="52"/>
      <c r="B246" s="95"/>
      <c r="C246" s="19"/>
      <c r="D246" s="696" t="s">
        <v>648</v>
      </c>
      <c r="E246" s="697">
        <f>E158</f>
        <v>2090.375</v>
      </c>
      <c r="F246" s="145"/>
      <c r="G246" s="23"/>
    </row>
    <row r="247" spans="1:7" ht="13.5" customHeight="1">
      <c r="A247" s="199"/>
      <c r="B247" s="78"/>
      <c r="C247" s="19"/>
      <c r="D247" s="17" t="s">
        <v>455</v>
      </c>
      <c r="E247" s="172">
        <v>7</v>
      </c>
      <c r="F247" s="145" t="s">
        <v>643</v>
      </c>
      <c r="G247" s="23"/>
    </row>
    <row r="248" spans="1:7" ht="13.5" customHeight="1">
      <c r="A248" s="199"/>
      <c r="B248" s="78"/>
      <c r="C248" s="19"/>
      <c r="D248" s="19"/>
      <c r="E248" s="19"/>
      <c r="F248" s="19"/>
      <c r="G248" s="23"/>
    </row>
    <row r="249" spans="1:7" ht="13.5" customHeight="1">
      <c r="A249" s="52"/>
      <c r="B249" s="95"/>
      <c r="C249" s="19"/>
      <c r="D249" s="209" t="s">
        <v>457</v>
      </c>
      <c r="E249" s="76">
        <f>(E245+E246)/E247</f>
        <v>4073.8318577142854</v>
      </c>
      <c r="F249" s="145" t="s">
        <v>644</v>
      </c>
      <c r="G249" s="23"/>
    </row>
    <row r="250" spans="1:7" ht="13.5" customHeight="1">
      <c r="A250" s="199"/>
      <c r="B250" s="78"/>
      <c r="C250" s="19"/>
      <c r="D250" s="56"/>
      <c r="E250" s="56"/>
      <c r="F250" s="145"/>
      <c r="G250" s="23"/>
    </row>
    <row r="251" spans="1:7">
      <c r="A251" s="199"/>
      <c r="B251" s="78"/>
      <c r="C251" s="17"/>
      <c r="D251" s="210" t="s">
        <v>459</v>
      </c>
      <c r="E251" s="76">
        <f>E249*(1+E242)</f>
        <v>5459.0904726673816</v>
      </c>
      <c r="F251" s="145" t="s">
        <v>644</v>
      </c>
      <c r="G251" s="92"/>
    </row>
    <row r="252" spans="1:7" ht="12" thickBot="1">
      <c r="A252" s="211"/>
      <c r="B252" s="212"/>
      <c r="C252" s="213"/>
      <c r="D252" s="213"/>
      <c r="E252" s="48"/>
      <c r="F252" s="214"/>
      <c r="G252" s="215"/>
    </row>
    <row r="253" spans="1:7">
      <c r="A253" s="211"/>
      <c r="B253" s="211"/>
      <c r="C253" s="211"/>
      <c r="D253" s="216"/>
      <c r="E253" s="115"/>
      <c r="F253" s="217"/>
      <c r="G253" s="218"/>
    </row>
    <row r="254" spans="1:7" ht="12.75" customHeight="1">
      <c r="A254" s="211"/>
      <c r="B254" s="211"/>
      <c r="C254" s="211"/>
      <c r="D254" s="216"/>
      <c r="E254" s="115"/>
      <c r="F254" s="217"/>
      <c r="G254" s="218"/>
    </row>
    <row r="255" spans="1:7">
      <c r="A255" s="211"/>
      <c r="B255" s="211"/>
      <c r="C255" s="211"/>
      <c r="D255" s="216"/>
      <c r="E255" s="115"/>
      <c r="F255" s="217"/>
      <c r="G255" s="218"/>
    </row>
    <row r="256" spans="1:7">
      <c r="A256" s="211"/>
      <c r="B256" s="211"/>
      <c r="C256" s="211"/>
      <c r="D256" s="216"/>
      <c r="E256" s="115"/>
      <c r="F256" s="217"/>
      <c r="G256" s="218"/>
    </row>
    <row r="257" spans="1:7">
      <c r="A257" s="211"/>
      <c r="B257" s="211"/>
      <c r="C257" s="211"/>
      <c r="D257" s="216"/>
      <c r="E257" s="115"/>
      <c r="F257" s="217"/>
      <c r="G257" s="218"/>
    </row>
    <row r="258" spans="1:7">
      <c r="A258" s="211"/>
      <c r="B258" s="211"/>
      <c r="C258" s="211"/>
      <c r="D258" s="216"/>
      <c r="E258" s="115"/>
      <c r="F258" s="217"/>
      <c r="G258" s="218"/>
    </row>
    <row r="259" spans="1:7">
      <c r="A259" s="211"/>
      <c r="B259" s="211"/>
      <c r="C259" s="211"/>
      <c r="D259" s="216"/>
      <c r="E259" s="115"/>
      <c r="F259" s="217"/>
      <c r="G259" s="218"/>
    </row>
    <row r="260" spans="1:7">
      <c r="A260" s="211"/>
      <c r="B260" s="211"/>
      <c r="C260" s="211"/>
      <c r="D260" s="216"/>
      <c r="E260" s="115"/>
      <c r="F260" s="217"/>
      <c r="G260" s="218"/>
    </row>
    <row r="261" spans="1:7">
      <c r="A261" s="211"/>
      <c r="B261" s="211"/>
      <c r="C261" s="211"/>
      <c r="D261" s="216"/>
      <c r="E261" s="115"/>
      <c r="F261" s="217"/>
      <c r="G261" s="218"/>
    </row>
    <row r="262" spans="1:7">
      <c r="A262" s="211"/>
      <c r="B262" s="211"/>
      <c r="C262" s="211"/>
      <c r="D262" s="216"/>
      <c r="E262" s="115"/>
      <c r="F262" s="217"/>
      <c r="G262" s="218"/>
    </row>
    <row r="263" spans="1:7">
      <c r="A263" s="211"/>
      <c r="B263" s="211"/>
      <c r="C263" s="211"/>
      <c r="D263" s="216"/>
      <c r="E263" s="115"/>
      <c r="F263" s="217"/>
      <c r="G263" s="218"/>
    </row>
    <row r="264" spans="1:7">
      <c r="A264" s="211"/>
      <c r="B264" s="211"/>
      <c r="C264" s="211"/>
      <c r="D264" s="216"/>
      <c r="E264" s="115"/>
      <c r="F264" s="217"/>
      <c r="G264" s="218"/>
    </row>
    <row r="265" spans="1:7">
      <c r="A265" s="211"/>
      <c r="B265" s="211"/>
      <c r="C265" s="211"/>
      <c r="D265" s="216"/>
      <c r="E265" s="115"/>
      <c r="F265" s="217"/>
      <c r="G265" s="218"/>
    </row>
    <row r="266" spans="1:7">
      <c r="A266" s="211"/>
      <c r="B266" s="211"/>
      <c r="C266" s="211"/>
      <c r="D266" s="216"/>
      <c r="E266" s="115"/>
      <c r="F266" s="217"/>
      <c r="G266" s="218"/>
    </row>
    <row r="267" spans="1:7">
      <c r="A267" s="211"/>
      <c r="B267" s="211"/>
      <c r="C267" s="211"/>
      <c r="D267" s="216"/>
      <c r="E267" s="115"/>
      <c r="F267" s="217"/>
      <c r="G267" s="218"/>
    </row>
    <row r="268" spans="1:7">
      <c r="A268" s="211"/>
      <c r="B268" s="211"/>
      <c r="C268" s="211"/>
      <c r="D268" s="216"/>
      <c r="E268" s="115"/>
      <c r="F268" s="217"/>
      <c r="G268" s="218"/>
    </row>
    <row r="269" spans="1:7">
      <c r="A269" s="211"/>
      <c r="B269" s="211"/>
      <c r="C269" s="211"/>
      <c r="D269" s="216"/>
      <c r="E269" s="115"/>
      <c r="F269" s="217"/>
      <c r="G269" s="218"/>
    </row>
    <row r="270" spans="1:7">
      <c r="A270" s="211"/>
      <c r="B270" s="211"/>
      <c r="C270" s="211"/>
      <c r="D270" s="216"/>
      <c r="E270" s="115"/>
      <c r="F270" s="217"/>
      <c r="G270" s="218"/>
    </row>
    <row r="271" spans="1:7">
      <c r="A271" s="211"/>
      <c r="B271" s="211"/>
      <c r="C271" s="211"/>
      <c r="D271" s="216"/>
      <c r="E271" s="115"/>
      <c r="F271" s="217"/>
      <c r="G271" s="218"/>
    </row>
    <row r="272" spans="1:7">
      <c r="A272" s="211"/>
      <c r="B272" s="211"/>
      <c r="C272" s="211"/>
      <c r="D272" s="216"/>
      <c r="E272" s="115"/>
      <c r="F272" s="217"/>
      <c r="G272" s="218"/>
    </row>
    <row r="273" spans="1:7">
      <c r="A273" s="211"/>
      <c r="B273" s="211"/>
      <c r="C273" s="211"/>
      <c r="D273" s="216"/>
      <c r="E273" s="115"/>
      <c r="F273" s="217"/>
      <c r="G273" s="218"/>
    </row>
    <row r="274" spans="1:7">
      <c r="A274" s="211"/>
      <c r="B274" s="211"/>
      <c r="C274" s="211"/>
      <c r="D274" s="216"/>
      <c r="E274" s="115"/>
      <c r="F274" s="217"/>
      <c r="G274" s="218"/>
    </row>
    <row r="275" spans="1:7">
      <c r="A275" s="211"/>
      <c r="B275" s="211"/>
      <c r="C275" s="211"/>
      <c r="D275" s="216"/>
      <c r="E275" s="115"/>
      <c r="F275" s="217"/>
      <c r="G275" s="218"/>
    </row>
    <row r="276" spans="1:7">
      <c r="A276" s="211"/>
      <c r="B276" s="211"/>
      <c r="C276" s="211"/>
      <c r="D276" s="216"/>
      <c r="E276" s="115"/>
      <c r="F276" s="217"/>
      <c r="G276" s="218"/>
    </row>
    <row r="277" spans="1:7">
      <c r="A277" s="211"/>
      <c r="B277" s="211"/>
      <c r="C277" s="211"/>
      <c r="D277" s="216"/>
      <c r="E277" s="115"/>
      <c r="F277" s="217"/>
      <c r="G277" s="218"/>
    </row>
    <row r="278" spans="1:7">
      <c r="A278" s="211"/>
      <c r="B278" s="211"/>
      <c r="C278" s="211"/>
      <c r="D278" s="216"/>
      <c r="E278" s="115"/>
      <c r="F278" s="217"/>
      <c r="G278" s="218"/>
    </row>
    <row r="279" spans="1:7">
      <c r="A279" s="211"/>
      <c r="B279" s="211"/>
      <c r="C279" s="211"/>
      <c r="D279" s="216"/>
      <c r="E279" s="115"/>
      <c r="F279" s="217"/>
      <c r="G279" s="218"/>
    </row>
    <row r="280" spans="1:7">
      <c r="A280" s="211"/>
      <c r="B280" s="211"/>
      <c r="C280" s="211"/>
      <c r="D280" s="216"/>
      <c r="E280" s="115"/>
      <c r="F280" s="217"/>
      <c r="G280" s="218"/>
    </row>
    <row r="281" spans="1:7">
      <c r="A281" s="211"/>
      <c r="B281" s="211"/>
      <c r="C281" s="211"/>
      <c r="D281" s="216"/>
      <c r="E281" s="115"/>
      <c r="F281" s="217"/>
      <c r="G281" s="218"/>
    </row>
    <row r="282" spans="1:7">
      <c r="A282" s="211"/>
      <c r="B282" s="211"/>
      <c r="C282" s="211"/>
      <c r="D282" s="216"/>
      <c r="E282" s="115"/>
      <c r="F282" s="217"/>
      <c r="G282" s="218"/>
    </row>
    <row r="283" spans="1:7">
      <c r="A283" s="211"/>
      <c r="B283" s="211"/>
      <c r="C283" s="211"/>
      <c r="D283" s="216"/>
      <c r="E283" s="115"/>
      <c r="F283" s="217"/>
      <c r="G283" s="218"/>
    </row>
    <row r="284" spans="1:7">
      <c r="A284" s="211"/>
      <c r="B284" s="211"/>
      <c r="C284" s="211"/>
      <c r="D284" s="216"/>
      <c r="E284" s="115"/>
      <c r="F284" s="217"/>
      <c r="G284" s="218"/>
    </row>
    <row r="285" spans="1:7">
      <c r="A285" s="211"/>
      <c r="B285" s="211"/>
      <c r="C285" s="211"/>
      <c r="D285" s="216"/>
      <c r="E285" s="115"/>
      <c r="F285" s="217"/>
      <c r="G285" s="218"/>
    </row>
    <row r="286" spans="1:7">
      <c r="A286" s="211"/>
      <c r="B286" s="211"/>
      <c r="C286" s="211"/>
      <c r="D286" s="216"/>
      <c r="E286" s="115"/>
      <c r="F286" s="217"/>
      <c r="G286" s="218"/>
    </row>
    <row r="287" spans="1:7">
      <c r="A287" s="211"/>
      <c r="B287" s="211"/>
      <c r="C287" s="211"/>
      <c r="D287" s="216"/>
      <c r="E287" s="115"/>
      <c r="F287" s="217"/>
      <c r="G287" s="218"/>
    </row>
    <row r="288" spans="1:7">
      <c r="A288" s="211"/>
      <c r="B288" s="211"/>
      <c r="C288" s="211"/>
      <c r="D288" s="216"/>
      <c r="E288" s="115"/>
      <c r="F288" s="217"/>
      <c r="G288" s="218"/>
    </row>
    <row r="289" spans="1:7">
      <c r="A289" s="211"/>
      <c r="B289" s="211"/>
      <c r="C289" s="211"/>
      <c r="D289" s="216"/>
      <c r="E289" s="115"/>
      <c r="F289" s="217"/>
      <c r="G289" s="218"/>
    </row>
    <row r="290" spans="1:7">
      <c r="A290" s="211"/>
      <c r="B290" s="211"/>
      <c r="C290" s="211"/>
      <c r="D290" s="216"/>
      <c r="E290" s="115"/>
      <c r="F290" s="217"/>
      <c r="G290" s="218"/>
    </row>
    <row r="291" spans="1:7">
      <c r="A291" s="211"/>
      <c r="B291" s="211"/>
      <c r="C291" s="211"/>
      <c r="D291" s="216"/>
      <c r="E291" s="115"/>
      <c r="F291" s="217"/>
      <c r="G291" s="218"/>
    </row>
    <row r="292" spans="1:7">
      <c r="A292" s="211"/>
      <c r="B292" s="211"/>
      <c r="C292" s="211"/>
      <c r="D292" s="216"/>
      <c r="E292" s="115"/>
      <c r="F292" s="217"/>
      <c r="G292" s="218"/>
    </row>
    <row r="293" spans="1:7">
      <c r="A293" s="211"/>
      <c r="B293" s="211"/>
      <c r="C293" s="211"/>
      <c r="D293" s="216"/>
      <c r="E293" s="115"/>
      <c r="F293" s="217"/>
      <c r="G293" s="218"/>
    </row>
    <row r="294" spans="1:7">
      <c r="A294" s="211"/>
      <c r="B294" s="211"/>
      <c r="C294" s="211"/>
      <c r="D294" s="216"/>
      <c r="E294" s="115"/>
      <c r="F294" s="217"/>
      <c r="G294" s="218"/>
    </row>
    <row r="295" spans="1:7">
      <c r="A295" s="211"/>
      <c r="B295" s="211"/>
      <c r="C295" s="211"/>
      <c r="D295" s="216"/>
      <c r="E295" s="115"/>
      <c r="F295" s="217"/>
      <c r="G295" s="218"/>
    </row>
    <row r="296" spans="1:7">
      <c r="A296" s="211"/>
      <c r="B296" s="211"/>
      <c r="C296" s="211"/>
      <c r="D296" s="216"/>
      <c r="E296" s="115"/>
      <c r="F296" s="217"/>
      <c r="G296" s="218"/>
    </row>
    <row r="297" spans="1:7">
      <c r="A297" s="211"/>
      <c r="B297" s="211"/>
      <c r="C297" s="211"/>
      <c r="D297" s="216"/>
      <c r="E297" s="115"/>
      <c r="F297" s="217"/>
      <c r="G297" s="218"/>
    </row>
    <row r="298" spans="1:7">
      <c r="A298" s="211"/>
      <c r="B298" s="211"/>
      <c r="C298" s="211"/>
      <c r="D298" s="216"/>
      <c r="E298" s="115"/>
      <c r="F298" s="217"/>
      <c r="G298" s="218"/>
    </row>
    <row r="299" spans="1:7">
      <c r="A299" s="211"/>
      <c r="B299" s="211"/>
      <c r="C299" s="211"/>
      <c r="D299" s="216"/>
      <c r="E299" s="115"/>
      <c r="F299" s="217"/>
      <c r="G299" s="218"/>
    </row>
    <row r="300" spans="1:7">
      <c r="A300" s="211"/>
      <c r="B300" s="211"/>
      <c r="C300" s="211"/>
      <c r="D300" s="216"/>
      <c r="E300" s="115"/>
      <c r="F300" s="217"/>
      <c r="G300" s="218"/>
    </row>
    <row r="301" spans="1:7">
      <c r="A301" s="211"/>
      <c r="B301" s="211"/>
      <c r="C301" s="211"/>
      <c r="D301" s="216"/>
      <c r="E301" s="115"/>
      <c r="F301" s="217"/>
      <c r="G301" s="218"/>
    </row>
    <row r="302" spans="1:7">
      <c r="A302" s="211"/>
      <c r="B302" s="211"/>
      <c r="C302" s="211"/>
      <c r="D302" s="216"/>
      <c r="E302" s="115"/>
      <c r="F302" s="217"/>
      <c r="G302" s="218"/>
    </row>
    <row r="303" spans="1:7">
      <c r="A303" s="211"/>
      <c r="B303" s="211"/>
      <c r="C303" s="211"/>
      <c r="D303" s="216"/>
      <c r="E303" s="115"/>
      <c r="F303" s="217"/>
      <c r="G303" s="218"/>
    </row>
    <row r="304" spans="1:7">
      <c r="A304" s="211"/>
      <c r="B304" s="211"/>
      <c r="C304" s="211"/>
      <c r="D304" s="216"/>
      <c r="E304" s="115"/>
      <c r="F304" s="217"/>
      <c r="G304" s="218"/>
    </row>
    <row r="305" spans="1:7">
      <c r="A305" s="211"/>
      <c r="B305" s="211"/>
      <c r="C305" s="211"/>
      <c r="D305" s="216"/>
      <c r="E305" s="115"/>
      <c r="F305" s="217"/>
      <c r="G305" s="218"/>
    </row>
    <row r="306" spans="1:7">
      <c r="A306" s="211"/>
      <c r="B306" s="211"/>
      <c r="C306" s="211"/>
      <c r="D306" s="216"/>
      <c r="E306" s="115"/>
      <c r="F306" s="217"/>
      <c r="G306" s="218"/>
    </row>
    <row r="307" spans="1:7">
      <c r="A307" s="211"/>
      <c r="B307" s="211"/>
      <c r="C307" s="211"/>
      <c r="D307" s="216"/>
      <c r="E307" s="115"/>
      <c r="F307" s="217"/>
      <c r="G307" s="218"/>
    </row>
    <row r="308" spans="1:7">
      <c r="A308" s="211"/>
      <c r="B308" s="211"/>
      <c r="C308" s="211"/>
      <c r="D308" s="216"/>
      <c r="E308" s="115"/>
      <c r="F308" s="217"/>
      <c r="G308" s="218"/>
    </row>
    <row r="309" spans="1:7">
      <c r="A309" s="211"/>
      <c r="B309" s="211"/>
      <c r="C309" s="211"/>
      <c r="D309" s="216"/>
      <c r="E309" s="115"/>
      <c r="F309" s="217"/>
      <c r="G309" s="218"/>
    </row>
    <row r="310" spans="1:7">
      <c r="A310" s="211"/>
      <c r="B310" s="211"/>
      <c r="C310" s="211"/>
      <c r="D310" s="216"/>
      <c r="E310" s="115"/>
      <c r="F310" s="217"/>
      <c r="G310" s="218"/>
    </row>
    <row r="311" spans="1:7">
      <c r="A311" s="211"/>
      <c r="B311" s="211"/>
      <c r="C311" s="211"/>
      <c r="D311" s="216"/>
      <c r="E311" s="115"/>
      <c r="F311" s="217"/>
      <c r="G311" s="218"/>
    </row>
    <row r="312" spans="1:7">
      <c r="A312" s="211"/>
      <c r="B312" s="211"/>
      <c r="C312" s="211"/>
      <c r="D312" s="216"/>
      <c r="E312" s="115"/>
      <c r="F312" s="217"/>
      <c r="G312" s="218"/>
    </row>
    <row r="313" spans="1:7">
      <c r="A313" s="211"/>
      <c r="B313" s="211"/>
      <c r="C313" s="211"/>
      <c r="D313" s="216"/>
      <c r="E313" s="115"/>
      <c r="F313" s="217"/>
      <c r="G313" s="218"/>
    </row>
    <row r="314" spans="1:7">
      <c r="A314" s="211"/>
      <c r="B314" s="211"/>
      <c r="C314" s="211"/>
      <c r="D314" s="216"/>
      <c r="E314" s="115"/>
      <c r="F314" s="217"/>
      <c r="G314" s="218"/>
    </row>
    <row r="315" spans="1:7">
      <c r="A315" s="211"/>
      <c r="B315" s="211"/>
      <c r="C315" s="211"/>
      <c r="D315" s="216"/>
      <c r="E315" s="115"/>
      <c r="F315" s="217"/>
      <c r="G315" s="218"/>
    </row>
    <row r="316" spans="1:7">
      <c r="A316" s="211"/>
      <c r="B316" s="211"/>
      <c r="C316" s="211"/>
      <c r="D316" s="216"/>
      <c r="E316" s="115"/>
      <c r="F316" s="217"/>
      <c r="G316" s="218"/>
    </row>
    <row r="317" spans="1:7">
      <c r="A317" s="211"/>
      <c r="B317" s="211"/>
      <c r="C317" s="211"/>
      <c r="D317" s="216"/>
      <c r="E317" s="115"/>
      <c r="F317" s="217"/>
      <c r="G317" s="218"/>
    </row>
    <row r="318" spans="1:7">
      <c r="A318" s="211"/>
      <c r="B318" s="211"/>
      <c r="C318" s="211"/>
      <c r="D318" s="216"/>
      <c r="E318" s="115"/>
      <c r="F318" s="217"/>
      <c r="G318" s="218"/>
    </row>
    <row r="319" spans="1:7">
      <c r="A319" s="211"/>
      <c r="B319" s="211"/>
      <c r="C319" s="211"/>
      <c r="D319" s="216"/>
      <c r="E319" s="115"/>
      <c r="F319" s="217"/>
      <c r="G319" s="218"/>
    </row>
    <row r="320" spans="1:7">
      <c r="A320" s="211"/>
      <c r="B320" s="211"/>
      <c r="C320" s="211"/>
      <c r="D320" s="216"/>
      <c r="E320" s="115"/>
      <c r="F320" s="217"/>
      <c r="G320" s="218"/>
    </row>
    <row r="321" spans="1:7">
      <c r="A321" s="211"/>
      <c r="B321" s="211"/>
      <c r="C321" s="211"/>
      <c r="D321" s="216"/>
      <c r="E321" s="115"/>
      <c r="F321" s="217"/>
      <c r="G321" s="218"/>
    </row>
    <row r="322" spans="1:7">
      <c r="A322" s="211"/>
      <c r="B322" s="211"/>
      <c r="C322" s="211"/>
      <c r="D322" s="216"/>
      <c r="E322" s="115"/>
      <c r="F322" s="217"/>
      <c r="G322" s="218"/>
    </row>
    <row r="323" spans="1:7">
      <c r="A323" s="211"/>
      <c r="B323" s="211"/>
      <c r="C323" s="211"/>
      <c r="D323" s="216"/>
      <c r="E323" s="115"/>
      <c r="F323" s="217"/>
      <c r="G323" s="218"/>
    </row>
    <row r="324" spans="1:7">
      <c r="A324" s="211"/>
      <c r="B324" s="211"/>
      <c r="C324" s="211"/>
      <c r="D324" s="216"/>
      <c r="E324" s="115"/>
      <c r="F324" s="217"/>
      <c r="G324" s="218"/>
    </row>
    <row r="325" spans="1:7">
      <c r="A325" s="211"/>
      <c r="B325" s="211"/>
      <c r="C325" s="211"/>
      <c r="D325" s="216"/>
      <c r="E325" s="115"/>
      <c r="F325" s="217"/>
      <c r="G325" s="218"/>
    </row>
    <row r="326" spans="1:7">
      <c r="A326" s="211"/>
      <c r="B326" s="211"/>
      <c r="C326" s="211"/>
      <c r="D326" s="216"/>
      <c r="E326" s="115"/>
      <c r="F326" s="217"/>
      <c r="G326" s="218"/>
    </row>
    <row r="327" spans="1:7">
      <c r="A327" s="211"/>
      <c r="B327" s="211"/>
      <c r="C327" s="211"/>
      <c r="D327" s="216"/>
      <c r="E327" s="115"/>
      <c r="F327" s="217"/>
      <c r="G327" s="218"/>
    </row>
    <row r="328" spans="1:7">
      <c r="A328" s="211"/>
      <c r="B328" s="211"/>
      <c r="C328" s="211"/>
      <c r="D328" s="216"/>
      <c r="E328" s="115"/>
      <c r="F328" s="217"/>
      <c r="G328" s="218"/>
    </row>
    <row r="329" spans="1:7">
      <c r="A329" s="211"/>
      <c r="B329" s="211"/>
      <c r="C329" s="211"/>
      <c r="D329" s="216"/>
      <c r="E329" s="115"/>
      <c r="F329" s="217"/>
      <c r="G329" s="218"/>
    </row>
    <row r="330" spans="1:7">
      <c r="A330" s="211"/>
      <c r="B330" s="211"/>
      <c r="C330" s="211"/>
      <c r="D330" s="216"/>
      <c r="E330" s="115"/>
      <c r="F330" s="217"/>
      <c r="G330" s="218"/>
    </row>
    <row r="331" spans="1:7">
      <c r="A331" s="211"/>
      <c r="B331" s="211"/>
      <c r="C331" s="211"/>
      <c r="D331" s="216"/>
      <c r="E331" s="115"/>
      <c r="F331" s="217"/>
      <c r="G331" s="218"/>
    </row>
    <row r="332" spans="1:7">
      <c r="A332" s="211"/>
      <c r="B332" s="211"/>
      <c r="C332" s="211"/>
      <c r="D332" s="216"/>
      <c r="E332" s="115"/>
      <c r="F332" s="217"/>
      <c r="G332" s="218"/>
    </row>
    <row r="333" spans="1:7">
      <c r="A333" s="211"/>
      <c r="B333" s="211"/>
      <c r="C333" s="211"/>
      <c r="D333" s="216"/>
      <c r="E333" s="115"/>
      <c r="F333" s="217"/>
      <c r="G333" s="218"/>
    </row>
    <row r="334" spans="1:7">
      <c r="A334" s="211"/>
      <c r="B334" s="211"/>
      <c r="C334" s="211"/>
      <c r="D334" s="216"/>
      <c r="E334" s="115"/>
      <c r="F334" s="217"/>
      <c r="G334" s="218"/>
    </row>
    <row r="335" spans="1:7">
      <c r="A335" s="211"/>
      <c r="B335" s="211"/>
      <c r="C335" s="211"/>
      <c r="D335" s="216"/>
      <c r="E335" s="115"/>
      <c r="F335" s="217"/>
      <c r="G335" s="218"/>
    </row>
    <row r="336" spans="1:7">
      <c r="A336" s="211"/>
      <c r="B336" s="211"/>
      <c r="C336" s="211"/>
      <c r="D336" s="216"/>
      <c r="E336" s="115"/>
      <c r="F336" s="217"/>
      <c r="G336" s="218"/>
    </row>
    <row r="337" spans="1:7">
      <c r="A337" s="211"/>
      <c r="B337" s="211"/>
      <c r="C337" s="211"/>
      <c r="D337" s="216"/>
      <c r="E337" s="115"/>
      <c r="F337" s="217"/>
      <c r="G337" s="218"/>
    </row>
    <row r="338" spans="1:7">
      <c r="A338" s="211"/>
      <c r="B338" s="211"/>
      <c r="C338" s="211"/>
      <c r="D338" s="216"/>
      <c r="E338" s="115"/>
      <c r="F338" s="217"/>
      <c r="G338" s="218"/>
    </row>
    <row r="339" spans="1:7">
      <c r="A339" s="211"/>
      <c r="B339" s="211"/>
      <c r="C339" s="211"/>
      <c r="D339" s="216"/>
      <c r="E339" s="115"/>
      <c r="F339" s="217"/>
      <c r="G339" s="218"/>
    </row>
    <row r="340" spans="1:7">
      <c r="A340" s="211"/>
      <c r="B340" s="211"/>
      <c r="C340" s="211"/>
      <c r="D340" s="216"/>
      <c r="E340" s="115"/>
      <c r="F340" s="217"/>
      <c r="G340" s="218"/>
    </row>
    <row r="341" spans="1:7">
      <c r="A341" s="211"/>
      <c r="B341" s="211"/>
      <c r="C341" s="211"/>
      <c r="D341" s="216"/>
      <c r="E341" s="115"/>
      <c r="F341" s="217"/>
      <c r="G341" s="218"/>
    </row>
    <row r="342" spans="1:7">
      <c r="A342" s="211"/>
      <c r="B342" s="211"/>
      <c r="C342" s="211"/>
      <c r="D342" s="216"/>
      <c r="E342" s="115"/>
      <c r="F342" s="217"/>
      <c r="G342" s="218"/>
    </row>
    <row r="343" spans="1:7">
      <c r="A343" s="211"/>
      <c r="B343" s="211"/>
      <c r="C343" s="211"/>
      <c r="D343" s="216"/>
      <c r="E343" s="115"/>
      <c r="F343" s="217"/>
      <c r="G343" s="218"/>
    </row>
    <row r="344" spans="1:7">
      <c r="A344" s="211"/>
      <c r="B344" s="211"/>
      <c r="C344" s="211"/>
      <c r="D344" s="216"/>
      <c r="E344" s="115"/>
      <c r="F344" s="217"/>
      <c r="G344" s="218"/>
    </row>
    <row r="345" spans="1:7">
      <c r="A345" s="211"/>
      <c r="B345" s="211"/>
      <c r="C345" s="211"/>
      <c r="D345" s="216"/>
      <c r="E345" s="115"/>
      <c r="F345" s="217"/>
      <c r="G345" s="218"/>
    </row>
    <row r="346" spans="1:7">
      <c r="A346" s="211"/>
      <c r="B346" s="211"/>
      <c r="C346" s="211"/>
      <c r="D346" s="216"/>
      <c r="E346" s="115"/>
      <c r="F346" s="217"/>
      <c r="G346" s="218"/>
    </row>
    <row r="347" spans="1:7">
      <c r="A347" s="211"/>
      <c r="B347" s="211"/>
      <c r="C347" s="211"/>
      <c r="D347" s="216"/>
      <c r="E347" s="115"/>
      <c r="F347" s="217"/>
      <c r="G347" s="218"/>
    </row>
    <row r="348" spans="1:7">
      <c r="A348" s="211"/>
      <c r="B348" s="211"/>
      <c r="C348" s="211"/>
      <c r="D348" s="216"/>
      <c r="E348" s="115"/>
      <c r="F348" s="217"/>
      <c r="G348" s="218"/>
    </row>
    <row r="349" spans="1:7">
      <c r="A349" s="211"/>
      <c r="B349" s="211"/>
      <c r="C349" s="211"/>
      <c r="D349" s="216"/>
      <c r="E349" s="115"/>
      <c r="F349" s="217"/>
      <c r="G349" s="218"/>
    </row>
    <row r="350" spans="1:7">
      <c r="B350" s="102"/>
      <c r="E350" s="3"/>
      <c r="F350" s="3"/>
    </row>
    <row r="351" spans="1:7">
      <c r="B351" s="102"/>
      <c r="E351" s="3"/>
      <c r="F351" s="3"/>
    </row>
    <row r="352" spans="1:7">
      <c r="B352" s="102"/>
      <c r="E352" s="3"/>
      <c r="F352" s="3"/>
    </row>
    <row r="353" spans="1:5">
      <c r="A353" s="52"/>
      <c r="B353" s="52"/>
      <c r="C353" s="52"/>
      <c r="D353" s="52"/>
      <c r="E353" s="52"/>
    </row>
    <row r="354" spans="1:5">
      <c r="A354" s="34"/>
      <c r="E354" s="242"/>
    </row>
    <row r="355" spans="1:5" ht="13.2">
      <c r="A355" s="34"/>
      <c r="B355" s="243"/>
      <c r="E355" s="242"/>
    </row>
  </sheetData>
  <sheetProtection formatCells="0" formatColumns="0" formatRows="0" insertColumns="0" insertRows="0" insertHyperlinks="0" deleteColumns="0" deleteRows="0" sort="0" autoFilter="0" pivotTables="0"/>
  <mergeCells count="27">
    <mergeCell ref="C240:D240"/>
    <mergeCell ref="C241:D241"/>
    <mergeCell ref="C242:D242"/>
    <mergeCell ref="B19:C19"/>
    <mergeCell ref="B20:C20"/>
    <mergeCell ref="B21:C21"/>
    <mergeCell ref="B22:C22"/>
    <mergeCell ref="B23:C23"/>
    <mergeCell ref="B24:C24"/>
    <mergeCell ref="B25:C25"/>
    <mergeCell ref="A223:G223"/>
    <mergeCell ref="C233:C235"/>
    <mergeCell ref="C236:D236"/>
    <mergeCell ref="C237:D237"/>
    <mergeCell ref="C238:D238"/>
    <mergeCell ref="C239:D239"/>
    <mergeCell ref="A186:G186"/>
    <mergeCell ref="A14:G14"/>
    <mergeCell ref="B26:C26"/>
    <mergeCell ref="A1:G2"/>
    <mergeCell ref="A3:G4"/>
    <mergeCell ref="A12:G12"/>
    <mergeCell ref="A39:G39"/>
    <mergeCell ref="A41:G41"/>
    <mergeCell ref="A142:G142"/>
    <mergeCell ref="B145:D145"/>
    <mergeCell ref="A169:G169"/>
  </mergeCells>
  <pageMargins left="0.25" right="0.25" top="0.75" bottom="0.75" header="0.3" footer="0.3"/>
  <pageSetup paperSize="9" scale="67" fitToHeight="6" orientation="portrait" r:id="rId1"/>
  <rowBreaks count="3" manualBreakCount="3">
    <brk id="37" max="6" man="1"/>
    <brk id="116" max="6" man="1"/>
    <brk id="1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DADOS DE ENTRADA</vt:lpstr>
      <vt:lpstr>QUADRO GERAL</vt:lpstr>
      <vt:lpstr>CURVA ABC</vt:lpstr>
      <vt:lpstr>CRONOGRAMA</vt:lpstr>
      <vt:lpstr>01-Coleta domiciliar</vt:lpstr>
      <vt:lpstr>Comp. Aux. Caminhão Resv.</vt:lpstr>
      <vt:lpstr>03-Ecopontos</vt:lpstr>
      <vt:lpstr>04-Coleta contetores </vt:lpstr>
      <vt:lpstr>04-Implantação contetores</vt:lpstr>
      <vt:lpstr>04-Composição auxiliar</vt:lpstr>
      <vt:lpstr>06-Administração local</vt:lpstr>
      <vt:lpstr>'01-Coleta domiciliar'!Area_de_impressao</vt:lpstr>
      <vt:lpstr>'03-Ecopontos'!Area_de_impressao</vt:lpstr>
      <vt:lpstr>'04-Coleta contetores '!Area_de_impressao</vt:lpstr>
      <vt:lpstr>'04-Composição auxiliar'!Area_de_impressao</vt:lpstr>
      <vt:lpstr>'04-Implantação contetores'!Area_de_impressao</vt:lpstr>
      <vt:lpstr>'06-Administração local'!Area_de_impressao</vt:lpstr>
      <vt:lpstr>'Comp. Aux. Caminhão Resv.'!Area_de_impressao</vt:lpstr>
      <vt:lpstr>'CURVA ABC'!Area_de_impressao</vt:lpstr>
      <vt:lpstr>'DADOS DE ENTRADA'!Area_de_impressao</vt:lpstr>
      <vt:lpstr>'QUADRO GERAL'!Area_de_impressao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2024-09-26T13:23:12Z</cp:lastPrinted>
  <dcterms:created xsi:type="dcterms:W3CDTF">2005-01-26T21:47:00Z</dcterms:created>
  <dcterms:modified xsi:type="dcterms:W3CDTF">2024-10-15T19:59:08Z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1046-11.2.0.8343</vt:lpwstr>
  </property>
</Properties>
</file>