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EstaPasta_de_trabalho" defaultThemeVersion="124226"/>
  <bookViews>
    <workbookView xWindow="0" yWindow="195" windowWidth="24240" windowHeight="12630" tabRatio="866" firstSheet="1" activeTab="16"/>
  </bookViews>
  <sheets>
    <sheet name="RESUMO " sheetId="12" state="hidden" r:id="rId1"/>
    <sheet name="RESUMO" sheetId="49" r:id="rId2"/>
    <sheet name="quantdades" sheetId="14" state="hidden" r:id="rId3"/>
    <sheet name="DESMAT. DEST. LIMP. AREA_29" sheetId="21" state="hidden" r:id="rId4"/>
    <sheet name="DESMAT. DEST. LIMP. AREA_29 (2)" sheetId="26" state="hidden" r:id="rId5"/>
    <sheet name="Cronograma" sheetId="33" state="hidden" r:id="rId6"/>
    <sheet name="Inst. Canteiro e Acampamento " sheetId="27" state="hidden" r:id="rId7"/>
    <sheet name="Canteiro de Obra" sheetId="28" state="hidden" r:id="rId8"/>
    <sheet name="Acampamento Obra" sheetId="29" state="hidden" r:id="rId9"/>
    <sheet name="mob-desm de pessoal" sheetId="30" state="hidden" r:id="rId10"/>
    <sheet name="mob-desm equip rodante" sheetId="31" state="hidden" r:id="rId11"/>
    <sheet name="mob-desm equip pesado" sheetId="32" state="hidden" r:id="rId12"/>
    <sheet name="Plan1" sheetId="34" state="hidden" r:id="rId13"/>
    <sheet name="QUANT" sheetId="54" r:id="rId14"/>
    <sheet name="ORÇAMENTO" sheetId="55" r:id="rId15"/>
    <sheet name="TRANSPORTE" sheetId="42" r:id="rId16"/>
    <sheet name="CFF" sheetId="48" r:id="rId17"/>
    <sheet name="BDI" sheetId="50" r:id="rId18"/>
    <sheet name="QTDADE PAV" sheetId="41" r:id="rId19"/>
    <sheet name="Q.R.DRENAGEM" sheetId="56" r:id="rId20"/>
    <sheet name="INSTALAÇÃO DE CANTEIRO" sheetId="53" r:id="rId21"/>
    <sheet name="DISTR DE MASSAS LIMPO GRANDE" sheetId="36" r:id="rId22"/>
    <sheet name="Desmat dest e limp até 15 READ" sheetId="38" r:id="rId23"/>
    <sheet name="DESMATAMENTO ATÉ 0,30 E &gt;0,30" sheetId="39" r:id="rId24"/>
    <sheet name="REG MEC FX DOM" sheetId="52" r:id="rId25"/>
    <sheet name="HIDRO LEITO ESTRADAL" sheetId="43" r:id="rId26"/>
    <sheet name="HIDROSSEMEADURA JAZIDA" sheetId="57" r:id="rId27"/>
    <sheet name="CERCA" sheetId="45" r:id="rId28"/>
    <sheet name="ADM LOCAL" sheetId="58" r:id="rId29"/>
    <sheet name="SUB-BASE" sheetId="59" r:id="rId30"/>
    <sheet name="BASE" sheetId="60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emp2" localSheetId="26">#REF!</definedName>
    <definedName name="_emp2" localSheetId="24">#REF!</definedName>
    <definedName name="_emp2">#REF!</definedName>
    <definedName name="_ind100" localSheetId="26">#REF!</definedName>
    <definedName name="_ind100" localSheetId="24">#REF!</definedName>
    <definedName name="_ind100">#REF!</definedName>
    <definedName name="_JAZ1" localSheetId="26">#REF!</definedName>
    <definedName name="_JAZ1" localSheetId="24">#REF!</definedName>
    <definedName name="_JAZ1">#REF!</definedName>
    <definedName name="_JAZ11" localSheetId="26">#REF!</definedName>
    <definedName name="_JAZ11" localSheetId="24">#REF!</definedName>
    <definedName name="_JAZ11">#REF!</definedName>
    <definedName name="_JAZ2" localSheetId="26">#REF!</definedName>
    <definedName name="_JAZ2" localSheetId="24">#REF!</definedName>
    <definedName name="_JAZ2">#REF!</definedName>
    <definedName name="_JAZ22" localSheetId="26">#REF!</definedName>
    <definedName name="_JAZ22" localSheetId="24">#REF!</definedName>
    <definedName name="_JAZ22">#REF!</definedName>
    <definedName name="_JAZ3" localSheetId="26">#REF!</definedName>
    <definedName name="_JAZ3" localSheetId="24">#REF!</definedName>
    <definedName name="_JAZ3">#REF!</definedName>
    <definedName name="_JAZ33" localSheetId="26">#REF!</definedName>
    <definedName name="_JAZ33" localSheetId="24">#REF!</definedName>
    <definedName name="_JAZ33">#REF!</definedName>
    <definedName name="_mem2" localSheetId="26">#REF!</definedName>
    <definedName name="_mem2" localSheetId="24">#REF!</definedName>
    <definedName name="_mem2">#REF!</definedName>
    <definedName name="_oac2" localSheetId="3">#REF!</definedName>
    <definedName name="_oac2" localSheetId="4">#REF!</definedName>
    <definedName name="_oac2" localSheetId="26">#REF!</definedName>
    <definedName name="_oac2" localSheetId="24">#REF!</definedName>
    <definedName name="_oac2">#REF!</definedName>
    <definedName name="_RET1" localSheetId="26">#REF!</definedName>
    <definedName name="_RET1" localSheetId="24">#REF!</definedName>
    <definedName name="_RET1">#REF!</definedName>
    <definedName name="_tsd4" localSheetId="26">#REF!</definedName>
    <definedName name="_tsd4" localSheetId="24">#REF!</definedName>
    <definedName name="_tsd4">#REF!</definedName>
    <definedName name="_TT21" localSheetId="3">[1]RELATÓRIO!#REF!</definedName>
    <definedName name="_TT21" localSheetId="4">[1]RELATÓRIO!#REF!</definedName>
    <definedName name="_TT21" localSheetId="26">[1]RELATÓRIO!#REF!</definedName>
    <definedName name="_TT21" localSheetId="24">[1]RELATÓRIO!#REF!</definedName>
    <definedName name="_TT21">[1]RELATÓRIO!#REF!</definedName>
    <definedName name="_TT22" localSheetId="3">[1]RELATÓRIO!#REF!</definedName>
    <definedName name="_TT22" localSheetId="4">[1]RELATÓRIO!#REF!</definedName>
    <definedName name="_TT22" localSheetId="26">[1]RELATÓRIO!#REF!</definedName>
    <definedName name="_TT22" localSheetId="24">[1]RELATÓRIO!#REF!</definedName>
    <definedName name="_TT22">[1]RELATÓRIO!#REF!</definedName>
    <definedName name="AÇO_CA_50" localSheetId="26">#REF!</definedName>
    <definedName name="AÇO_CA_50" localSheetId="24">#REF!</definedName>
    <definedName name="AÇO_CA_50">#REF!</definedName>
    <definedName name="AND" localSheetId="26">#REF!</definedName>
    <definedName name="AND" localSheetId="24">#REF!</definedName>
    <definedName name="AND">#REF!</definedName>
    <definedName name="area_base" localSheetId="26">#REF!</definedName>
    <definedName name="area_base" localSheetId="24">#REF!</definedName>
    <definedName name="area_base">#REF!</definedName>
    <definedName name="_xlnm.Print_Area" localSheetId="5">Cronograma!$A$1:$R$83</definedName>
    <definedName name="_xlnm.Print_Area" localSheetId="4">'DESMAT. DEST. LIMP. AREA_29 (2)'!$A$1:$N$29</definedName>
    <definedName name="_xlnm.Print_Area" localSheetId="25">'HIDRO LEITO ESTRADAL'!$A$1:$K$13</definedName>
    <definedName name="_xlnm.Print_Area" localSheetId="26">'HIDROSSEMEADURA JAZIDA'!$A$1:$K$12</definedName>
    <definedName name="_xlnm.Print_Area" localSheetId="14">ORÇAMENTO!$A$1:$G$100</definedName>
    <definedName name="_xlnm.Print_Area" localSheetId="13">QUANT!$A$1:$D$98</definedName>
    <definedName name="_xlnm.Print_Area" localSheetId="2">quantdades!$A$1:$F$79</definedName>
    <definedName name="_xlnm.Print_Area" localSheetId="24">'REG MEC FX DOM'!$A$1:$K$15</definedName>
    <definedName name="_xlnm.Print_Area" localSheetId="15">TRANSPORTE!$A$1:$J$134</definedName>
    <definedName name="_xlnm.Print_Area">#REF!</definedName>
    <definedName name="BDI">[1]RELATÓRIO!$N$3</definedName>
    <definedName name="c.drena" localSheetId="26">#REF!</definedName>
    <definedName name="c.drena" localSheetId="24">#REF!</definedName>
    <definedName name="c.drena">#REF!</definedName>
    <definedName name="cab_dmt" localSheetId="26">#REF!</definedName>
    <definedName name="cab_dmt" localSheetId="24">#REF!</definedName>
    <definedName name="cab_dmt">#REF!</definedName>
    <definedName name="cab_pmf" localSheetId="26">#REF!</definedName>
    <definedName name="cab_pmf" localSheetId="24">#REF!</definedName>
    <definedName name="cab_pmf">#REF!</definedName>
    <definedName name="cabmeio" localSheetId="26">#REF!</definedName>
    <definedName name="cabmeio" localSheetId="24">#REF!</definedName>
    <definedName name="cabmeio">#REF!</definedName>
    <definedName name="caixa">'[1]RESUMO-DVOP'!$C$36</definedName>
    <definedName name="cap">[1]RELATÓRIO!$U$31</definedName>
    <definedName name="cap_20" localSheetId="26">#REF!</definedName>
    <definedName name="cap_20" localSheetId="24">#REF!</definedName>
    <definedName name="cap_20">#REF!</definedName>
    <definedName name="cbuq" localSheetId="26">#REF!</definedName>
    <definedName name="cbuq" localSheetId="24">#REF!</definedName>
    <definedName name="cbuq">#REF!</definedName>
    <definedName name="Colchão" localSheetId="26">#REF!</definedName>
    <definedName name="Colchão" localSheetId="24">#REF!</definedName>
    <definedName name="Colchão">#REF!</definedName>
    <definedName name="Conser" localSheetId="26">#REF!</definedName>
    <definedName name="Conser" localSheetId="24">#REF!</definedName>
    <definedName name="Conser">#REF!</definedName>
    <definedName name="conserva" localSheetId="3">#REF!</definedName>
    <definedName name="conserva" localSheetId="4">#REF!</definedName>
    <definedName name="conserva" localSheetId="26">#REF!</definedName>
    <definedName name="conserva" localSheetId="24">#REF!</definedName>
    <definedName name="conserva">#REF!</definedName>
    <definedName name="cp.100" localSheetId="26">#REF!</definedName>
    <definedName name="cp.100" localSheetId="24">#REF!</definedName>
    <definedName name="cp.100">#REF!</definedName>
    <definedName name="cp.95" localSheetId="26">#REF!</definedName>
    <definedName name="cp.95" localSheetId="24">#REF!</definedName>
    <definedName name="cp.95">#REF!</definedName>
    <definedName name="cx.01" localSheetId="3">[2]Aterro!#REF!</definedName>
    <definedName name="cx.01" localSheetId="4">[2]Aterro!#REF!</definedName>
    <definedName name="cx.01" localSheetId="26">[2]Aterro!#REF!</definedName>
    <definedName name="cx.01" localSheetId="24">[2]Aterro!#REF!</definedName>
    <definedName name="cx.01">[2]Aterro!#REF!</definedName>
    <definedName name="cx_coletora" localSheetId="26">#REF!</definedName>
    <definedName name="cx_coletora" localSheetId="24">#REF!</definedName>
    <definedName name="cx_coletora">#REF!</definedName>
    <definedName name="data">[3]Cabeçalho!$C$23</definedName>
    <definedName name="ddlc" localSheetId="26">#REF!</definedName>
    <definedName name="ddlc" localSheetId="24">#REF!</definedName>
    <definedName name="ddlc">#REF!</definedName>
    <definedName name="defensas" localSheetId="26">#REF!</definedName>
    <definedName name="defensas" localSheetId="24">#REF!</definedName>
    <definedName name="defensas">#REF!</definedName>
    <definedName name="densidade_cap" localSheetId="26">#REF!</definedName>
    <definedName name="densidade_cap" localSheetId="24">#REF!</definedName>
    <definedName name="densidade_cap">#REF!</definedName>
    <definedName name="descida1" localSheetId="26">#REF!</definedName>
    <definedName name="descida1" localSheetId="24">#REF!</definedName>
    <definedName name="descida1">#REF!</definedName>
    <definedName name="descida2" localSheetId="26">#REF!</definedName>
    <definedName name="descida2" localSheetId="24">#REF!</definedName>
    <definedName name="descida2">#REF!</definedName>
    <definedName name="DMT_0_50" localSheetId="26">#REF!</definedName>
    <definedName name="DMT_0_50" localSheetId="24">#REF!</definedName>
    <definedName name="DMT_0_50">#REF!</definedName>
    <definedName name="dmt_1000" localSheetId="26">#REF!</definedName>
    <definedName name="dmt_1000" localSheetId="24">#REF!</definedName>
    <definedName name="dmt_1000">#REF!</definedName>
    <definedName name="dmt_1200" localSheetId="26">#REF!</definedName>
    <definedName name="dmt_1200" localSheetId="24">#REF!</definedName>
    <definedName name="dmt_1200">#REF!</definedName>
    <definedName name="dmt_1400" localSheetId="26">#REF!</definedName>
    <definedName name="dmt_1400" localSheetId="24">#REF!</definedName>
    <definedName name="dmt_1400">#REF!</definedName>
    <definedName name="dmt_200" localSheetId="26">#REF!</definedName>
    <definedName name="dmt_200" localSheetId="24">#REF!</definedName>
    <definedName name="dmt_200">#REF!</definedName>
    <definedName name="DMT_200_400" localSheetId="26">#REF!</definedName>
    <definedName name="DMT_200_400" localSheetId="24">#REF!</definedName>
    <definedName name="DMT_200_400">#REF!</definedName>
    <definedName name="dmt_400" localSheetId="26">#REF!</definedName>
    <definedName name="dmt_400" localSheetId="24">#REF!</definedName>
    <definedName name="dmt_400">#REF!</definedName>
    <definedName name="DMT_400_600" localSheetId="26">#REF!</definedName>
    <definedName name="DMT_400_600" localSheetId="24">#REF!</definedName>
    <definedName name="DMT_400_600">#REF!</definedName>
    <definedName name="dmt_50" localSheetId="26">#REF!</definedName>
    <definedName name="dmt_50" localSheetId="24">#REF!</definedName>
    <definedName name="dmt_50">#REF!</definedName>
    <definedName name="DMT_50_200" localSheetId="26">#REF!</definedName>
    <definedName name="DMT_50_200" localSheetId="24">#REF!</definedName>
    <definedName name="DMT_50_200">#REF!</definedName>
    <definedName name="dmt_600" localSheetId="26">#REF!</definedName>
    <definedName name="dmt_600" localSheetId="24">#REF!</definedName>
    <definedName name="dmt_600">#REF!</definedName>
    <definedName name="dmt_800" localSheetId="26">#REF!</definedName>
    <definedName name="dmt_800" localSheetId="24">#REF!</definedName>
    <definedName name="dmt_800">#REF!</definedName>
    <definedName name="dren" localSheetId="3">#REF!</definedName>
    <definedName name="dren" localSheetId="4">#REF!</definedName>
    <definedName name="dren" localSheetId="26">#REF!</definedName>
    <definedName name="dren" localSheetId="24">#REF!</definedName>
    <definedName name="dren">#REF!</definedName>
    <definedName name="drena" localSheetId="26">#REF!</definedName>
    <definedName name="drena" localSheetId="24">#REF!</definedName>
    <definedName name="drena">#REF!</definedName>
    <definedName name="ELIAS" localSheetId="26">#REF!</definedName>
    <definedName name="ELIAS" localSheetId="24">#REF!</definedName>
    <definedName name="ELIAS">#REF!</definedName>
    <definedName name="Empo" localSheetId="26">#REF!</definedName>
    <definedName name="Empo" localSheetId="24">#REF!</definedName>
    <definedName name="Empo">#REF!</definedName>
    <definedName name="empo2" localSheetId="26">#REF!</definedName>
    <definedName name="empo2" localSheetId="24">#REF!</definedName>
    <definedName name="empo2">#REF!</definedName>
    <definedName name="Empola2" localSheetId="26">#REF!</definedName>
    <definedName name="Empola2" localSheetId="24">#REF!</definedName>
    <definedName name="Empola2">#REF!</definedName>
    <definedName name="Empolamento" localSheetId="26">#REF!</definedName>
    <definedName name="Empolamento" localSheetId="24">#REF!</definedName>
    <definedName name="Empolamento">#REF!</definedName>
    <definedName name="Empolo2" localSheetId="26">#REF!</definedName>
    <definedName name="Empolo2" localSheetId="24">#REF!</definedName>
    <definedName name="Empolo2">#REF!</definedName>
    <definedName name="empolo3" localSheetId="26">#REF!</definedName>
    <definedName name="empolo3" localSheetId="24">#REF!</definedName>
    <definedName name="empolo3">#REF!</definedName>
    <definedName name="eng" localSheetId="26">#REF!</definedName>
    <definedName name="eng" localSheetId="24">#REF!</definedName>
    <definedName name="eng">#REF!</definedName>
    <definedName name="entrada1" localSheetId="26">#REF!</definedName>
    <definedName name="entrada1" localSheetId="24">#REF!</definedName>
    <definedName name="entrada1">#REF!</definedName>
    <definedName name="entrada2" localSheetId="26">#REF!</definedName>
    <definedName name="entrada2" localSheetId="24">#REF!</definedName>
    <definedName name="entrada2">#REF!</definedName>
    <definedName name="escavmec" localSheetId="26">#REF!</definedName>
    <definedName name="escavmec" localSheetId="24">#REF!</definedName>
    <definedName name="escavmec">#REF!</definedName>
    <definedName name="faixa">'[1]RESUMO-DVOP'!$N$123</definedName>
    <definedName name="faixa2">'[1]RESUMO-DVOP'!$N$185</definedName>
    <definedName name="fator100" localSheetId="26">#REF!</definedName>
    <definedName name="fator100" localSheetId="24">#REF!</definedName>
    <definedName name="fator100">#REF!</definedName>
    <definedName name="fator50" localSheetId="26">#REF!</definedName>
    <definedName name="fator50" localSheetId="24">#REF!</definedName>
    <definedName name="fator50">#REF!</definedName>
    <definedName name="fir">[3]Cabeçalho!$B$11</definedName>
    <definedName name="fog" localSheetId="3">[2]TSD!#REF!</definedName>
    <definedName name="fog" localSheetId="4">[2]TSD!#REF!</definedName>
    <definedName name="fog" localSheetId="26">[2]TSD!#REF!</definedName>
    <definedName name="fog" localSheetId="24">[2]TSD!#REF!</definedName>
    <definedName name="fog">[2]TSD!#REF!</definedName>
    <definedName name="fx_horiz" localSheetId="26">#REF!</definedName>
    <definedName name="fx_horiz" localSheetId="24">#REF!</definedName>
    <definedName name="fx_horiz">#REF!</definedName>
    <definedName name="GRAMA" localSheetId="26">#REF!</definedName>
    <definedName name="GRAMA" localSheetId="24">#REF!</definedName>
    <definedName name="GRAMA">#REF!</definedName>
    <definedName name="grama_mudas" localSheetId="26">#REF!</definedName>
    <definedName name="grama_mudas" localSheetId="24">#REF!</definedName>
    <definedName name="grama_mudas">#REF!</definedName>
    <definedName name="indi_33" localSheetId="26">#REF!</definedName>
    <definedName name="indi_33" localSheetId="24">#REF!</definedName>
    <definedName name="indi_33">#REF!</definedName>
    <definedName name="inic" localSheetId="26">#REF!</definedName>
    <definedName name="inic" localSheetId="24">#REF!</definedName>
    <definedName name="inic">#REF!</definedName>
    <definedName name="JOSE">[1]RELATÓRIO!$I$31</definedName>
    <definedName name="kdren" localSheetId="3">#REF!</definedName>
    <definedName name="kdren" localSheetId="4">#REF!</definedName>
    <definedName name="kdren" localSheetId="26">#REF!</definedName>
    <definedName name="kdren" localSheetId="24">#REF!</definedName>
    <definedName name="kdren">#REF!</definedName>
    <definedName name="kdrena" localSheetId="26">#REF!</definedName>
    <definedName name="kdrena" localSheetId="24">#REF!</definedName>
    <definedName name="kdrena">#REF!</definedName>
    <definedName name="koae" localSheetId="26">#REF!</definedName>
    <definedName name="koae" localSheetId="24">#REF!</definedName>
    <definedName name="koae">#REF!</definedName>
    <definedName name="kpavi" localSheetId="26">#REF!</definedName>
    <definedName name="kpavi" localSheetId="24">#REF!</definedName>
    <definedName name="kpavi">#REF!</definedName>
    <definedName name="KSIN" localSheetId="26">#REF!</definedName>
    <definedName name="KSIN" localSheetId="24">#REF!</definedName>
    <definedName name="KSIN">#REF!</definedName>
    <definedName name="ksinal" localSheetId="3">#REF!</definedName>
    <definedName name="ksinal" localSheetId="4">#REF!</definedName>
    <definedName name="ksinal" localSheetId="26">#REF!</definedName>
    <definedName name="ksinal" localSheetId="24">#REF!</definedName>
    <definedName name="ksinal">#REF!</definedName>
    <definedName name="kterra" localSheetId="26">#REF!</definedName>
    <definedName name="kterra" localSheetId="24">#REF!</definedName>
    <definedName name="kterra">#REF!</definedName>
    <definedName name="luis" localSheetId="26">#REF!</definedName>
    <definedName name="luis" localSheetId="24">#REF!</definedName>
    <definedName name="luis">#REF!</definedName>
    <definedName name="maria">'[1]RESUMO-DVOP'!$I$12</definedName>
    <definedName name="mbc" localSheetId="26">#REF!</definedName>
    <definedName name="mbc" localSheetId="24">#REF!</definedName>
    <definedName name="mbc">#REF!</definedName>
    <definedName name="MEDAGOREAL">[1]RELATÓRIO!$I$30</definedName>
    <definedName name="MEIO_FIO" localSheetId="26">#REF!</definedName>
    <definedName name="MEIO_FIO" localSheetId="24">#REF!</definedName>
    <definedName name="MEIO_FIO">#REF!</definedName>
    <definedName name="meiofio" localSheetId="26">#REF!</definedName>
    <definedName name="meiofio" localSheetId="24">#REF!</definedName>
    <definedName name="meiofio">#REF!</definedName>
    <definedName name="Mem" localSheetId="26">#REF!</definedName>
    <definedName name="Mem" localSheetId="24">#REF!</definedName>
    <definedName name="Mem">#REF!</definedName>
    <definedName name="mo_base" localSheetId="26">#REF!</definedName>
    <definedName name="mo_base" localSheetId="24">#REF!</definedName>
    <definedName name="mo_base">#REF!</definedName>
    <definedName name="mo_sub_base" localSheetId="26">#REF!</definedName>
    <definedName name="mo_sub_base" localSheetId="24">#REF!</definedName>
    <definedName name="mo_sub_base">#REF!</definedName>
    <definedName name="mosubb" localSheetId="3">'DESMAT. DEST. LIMP. AREA_29'!#REF!</definedName>
    <definedName name="mosubb" localSheetId="4">'DESMAT. DEST. LIMP. AREA_29 (2)'!#REF!</definedName>
    <definedName name="mosubb" localSheetId="26">#REF!</definedName>
    <definedName name="mosubb" localSheetId="24">#REF!</definedName>
    <definedName name="mosubb">#REF!</definedName>
    <definedName name="mosubl" localSheetId="26">#REF!</definedName>
    <definedName name="mosubl" localSheetId="24">#REF!</definedName>
    <definedName name="mosubl">#REF!</definedName>
    <definedName name="OAC" localSheetId="26">#REF!</definedName>
    <definedName name="OAC" localSheetId="24">#REF!</definedName>
    <definedName name="OAC">#REF!</definedName>
    <definedName name="oac.b" localSheetId="26">#REF!</definedName>
    <definedName name="oac.b" localSheetId="24">#REF!</definedName>
    <definedName name="oac.b">#REF!</definedName>
    <definedName name="oac.c" localSheetId="26">#REF!</definedName>
    <definedName name="oac.c" localSheetId="24">#REF!</definedName>
    <definedName name="oac.c">#REF!</definedName>
    <definedName name="oac.ve" localSheetId="26">#REF!</definedName>
    <definedName name="oac.ve" localSheetId="24">#REF!</definedName>
    <definedName name="oac.ve">#REF!</definedName>
    <definedName name="oac.ve.remoc" localSheetId="26">#REF!</definedName>
    <definedName name="oac.ve.remoc" localSheetId="24">#REF!</definedName>
    <definedName name="oac.ve.remoc">#REF!</definedName>
    <definedName name="oac.vr" localSheetId="26">#REF!</definedName>
    <definedName name="oac.vr" localSheetId="24">#REF!</definedName>
    <definedName name="oac.vr">#REF!</definedName>
    <definedName name="oac.vr.remoc" localSheetId="26">#REF!</definedName>
    <definedName name="oac.vr.remoc" localSheetId="24">#REF!</definedName>
    <definedName name="oac.vr.remoc">#REF!</definedName>
    <definedName name="oae" localSheetId="26">#REF!</definedName>
    <definedName name="oae" localSheetId="24">#REF!</definedName>
    <definedName name="oae">#REF!</definedName>
    <definedName name="oae.vc" localSheetId="26">#REF!</definedName>
    <definedName name="oae.vc" localSheetId="24">#REF!</definedName>
    <definedName name="oae.vc">#REF!</definedName>
    <definedName name="ocom" localSheetId="3">#REF!</definedName>
    <definedName name="ocom" localSheetId="4">#REF!</definedName>
    <definedName name="ocom" localSheetId="26">#REF!</definedName>
    <definedName name="ocom" localSheetId="24">#REF!</definedName>
    <definedName name="ocom">#REF!</definedName>
    <definedName name="oesp" localSheetId="26">#REF!</definedName>
    <definedName name="oesp" localSheetId="24">#REF!</definedName>
    <definedName name="oesp">#REF!</definedName>
    <definedName name="pav" localSheetId="26">#REF!</definedName>
    <definedName name="pav" localSheetId="24">#REF!</definedName>
    <definedName name="pav">#REF!</definedName>
    <definedName name="PAV_2" localSheetId="3">[1]RELATÓRIO!#REF!</definedName>
    <definedName name="PAV_2" localSheetId="4">[1]RELATÓRIO!#REF!</definedName>
    <definedName name="PAV_2" localSheetId="26">[1]RELATÓRIO!#REF!</definedName>
    <definedName name="PAV_2" localSheetId="24">[1]RELATÓRIO!#REF!</definedName>
    <definedName name="PAV_2">[1]RELATÓRIO!#REF!</definedName>
    <definedName name="pavi" localSheetId="26">#REF!</definedName>
    <definedName name="pavi" localSheetId="24">#REF!</definedName>
    <definedName name="pavi">#REF!</definedName>
    <definedName name="PEDREIRA" localSheetId="26">#REF!</definedName>
    <definedName name="PEDREIRA" localSheetId="24">#REF!</definedName>
    <definedName name="PEDREIRA">#REF!</definedName>
    <definedName name="pint_lig" localSheetId="26">#REF!</definedName>
    <definedName name="pint_lig" localSheetId="24">#REF!</definedName>
    <definedName name="pint_lig">#REF!</definedName>
    <definedName name="rc.cerca" localSheetId="26">#REF!</definedName>
    <definedName name="rc.cerca" localSheetId="24">#REF!</definedName>
    <definedName name="rc.cerca">#REF!</definedName>
    <definedName name="rea" localSheetId="26">#REF!</definedName>
    <definedName name="rea" localSheetId="24">#REF!</definedName>
    <definedName name="rea">#REF!</definedName>
    <definedName name="remoc" localSheetId="26">#REF!</definedName>
    <definedName name="remoc" localSheetId="24">#REF!</definedName>
    <definedName name="remoc">#REF!</definedName>
    <definedName name="REMOÇÃO" localSheetId="26">#REF!</definedName>
    <definedName name="REMOÇÃO" localSheetId="24">#REF!</definedName>
    <definedName name="REMOÇÃO">#REF!</definedName>
    <definedName name="ROB" localSheetId="26">#REF!</definedName>
    <definedName name="ROB" localSheetId="24">#REF!</definedName>
    <definedName name="ROB">#REF!</definedName>
    <definedName name="ROBERTO" localSheetId="26">#REF!</definedName>
    <definedName name="ROBERTO" localSheetId="24">#REF!</definedName>
    <definedName name="ROBERTO">#REF!</definedName>
    <definedName name="rr.2c_pint" localSheetId="26">#REF!</definedName>
    <definedName name="rr.2c_pint" localSheetId="24">#REF!</definedName>
    <definedName name="rr.2c_pint">#REF!</definedName>
    <definedName name="RR_2C" localSheetId="26">#REF!</definedName>
    <definedName name="RR_2C" localSheetId="24">#REF!</definedName>
    <definedName name="RR_2C">#REF!</definedName>
    <definedName name="salario">[1]RELATÓRIO!$H$3</definedName>
    <definedName name="saux" localSheetId="26">#REF!</definedName>
    <definedName name="saux" localSheetId="24">#REF!</definedName>
    <definedName name="saux">#REF!</definedName>
    <definedName name="se">[4]Serviços!$A$3:$F$1403</definedName>
    <definedName name="SerP">[5]Serviços!$A$3:$F$1403</definedName>
    <definedName name="SERR">[6]Serviços!$A$3:$F$1403</definedName>
    <definedName name="serv">[5]Serviços!$A$3:$F$1403</definedName>
    <definedName name="servi">[5]Serviços!$A$3:$F$1403</definedName>
    <definedName name="ServiçoD">[5]Serviços!$A$3:$F$1403</definedName>
    <definedName name="Serviços">[7]Serviços!$A$3:$F$1403</definedName>
    <definedName name="sinal" localSheetId="26">#REF!</definedName>
    <definedName name="sinal" localSheetId="24">#REF!</definedName>
    <definedName name="sinal">#REF!</definedName>
    <definedName name="SINALI" localSheetId="26">#REF!</definedName>
    <definedName name="SINALI" localSheetId="24">#REF!</definedName>
    <definedName name="SINALI">#REF!</definedName>
    <definedName name="sinaliz_vert" localSheetId="26">#REF!</definedName>
    <definedName name="sinaliz_vert" localSheetId="24">#REF!</definedName>
    <definedName name="sinaliz_vert">#REF!</definedName>
    <definedName name="TABELA">[1]RELATÓRIO!$Y$10:$AC$128</definedName>
    <definedName name="tabela_de_mão_de_obra">[1]RELATÓRIO!$A$2:$C$16</definedName>
    <definedName name="tabela_de_materiais">[1]RELATÓRIO!$A$1:$D$188</definedName>
    <definedName name="tachinhas" localSheetId="26">#REF!</definedName>
    <definedName name="tachinhas" localSheetId="24">#REF!</definedName>
    <definedName name="tachinhas">#REF!</definedName>
    <definedName name="tachões" localSheetId="26">#REF!</definedName>
    <definedName name="tachões" localSheetId="24">#REF!</definedName>
    <definedName name="tachões">#REF!</definedName>
    <definedName name="taxa_cap" localSheetId="26">#REF!</definedName>
    <definedName name="taxa_cap" localSheetId="24">#REF!</definedName>
    <definedName name="taxa_cap">#REF!</definedName>
    <definedName name="ter" localSheetId="26">#REF!</definedName>
    <definedName name="ter" localSheetId="24">#REF!</definedName>
    <definedName name="ter">#REF!</definedName>
    <definedName name="terra" localSheetId="26">#REF!</definedName>
    <definedName name="terra" localSheetId="24">#REF!</definedName>
    <definedName name="terra">#REF!</definedName>
    <definedName name="TESTE" localSheetId="3">[1]RELATÓRIO!#REF!</definedName>
    <definedName name="TESTE" localSheetId="4">[1]RELATÓRIO!#REF!</definedName>
    <definedName name="TESTE" localSheetId="26">[1]RELATÓRIO!#REF!</definedName>
    <definedName name="TESTE" localSheetId="24">[1]RELATÓRIO!#REF!</definedName>
    <definedName name="TESTE">[1]RELATÓRIO!#REF!</definedName>
    <definedName name="_xlnm.Print_Titles" localSheetId="14">ORÇAMENTO!$1:$9</definedName>
    <definedName name="_xlnm.Print_Titles" localSheetId="13">QUANT!$1:$9</definedName>
    <definedName name="_xlnm.Print_Titles" localSheetId="2">quantdades!$1:$6</definedName>
    <definedName name="_xlnm.Print_Titles" localSheetId="0">'RESUMO '!$1:$2</definedName>
    <definedName name="_xlnm.Print_Titles" localSheetId="15">TRANSPORTE!$1:$4</definedName>
    <definedName name="tmat" localSheetId="3">[1]RELATÓRIO!#REF!</definedName>
    <definedName name="tmat" localSheetId="4">[1]RELATÓRIO!#REF!</definedName>
    <definedName name="tmat" localSheetId="26">[1]RELATÓRIO!#REF!</definedName>
    <definedName name="tmat" localSheetId="24">[1]RELATÓRIO!#REF!</definedName>
    <definedName name="tmat">[1]RELATÓRIO!#REF!</definedName>
    <definedName name="transp_massa" localSheetId="26">#REF!</definedName>
    <definedName name="transp_massa" localSheetId="24">#REF!</definedName>
    <definedName name="transp_massa">#REF!</definedName>
    <definedName name="ts" localSheetId="3">[1]RELATÓRIO!#REF!</definedName>
    <definedName name="ts" localSheetId="4">[1]RELATÓRIO!#REF!</definedName>
    <definedName name="ts" localSheetId="26">[1]RELATÓRIO!#REF!</definedName>
    <definedName name="ts" localSheetId="24">[1]RELATÓRIO!#REF!</definedName>
    <definedName name="ts">[1]RELATÓRIO!#REF!</definedName>
    <definedName name="TSD" localSheetId="26">#REF!</definedName>
    <definedName name="TSD" localSheetId="24">#REF!</definedName>
    <definedName name="TSD">#REF!</definedName>
    <definedName name="tsd.a" localSheetId="3">[2]TSD!#REF!</definedName>
    <definedName name="tsd.a" localSheetId="4">[2]TSD!#REF!</definedName>
    <definedName name="tsd.a" localSheetId="26">[2]TSD!#REF!</definedName>
    <definedName name="tsd.a" localSheetId="24">[2]TSD!#REF!</definedName>
    <definedName name="tsd.a">[2]TSD!#REF!</definedName>
    <definedName name="TSs" localSheetId="26">#REF!</definedName>
    <definedName name="TSs" localSheetId="24">#REF!</definedName>
    <definedName name="TSs">#REF!</definedName>
    <definedName name="tss.a" localSheetId="3">[2]TSD!#REF!</definedName>
    <definedName name="tss.a" localSheetId="4">[2]TSD!#REF!</definedName>
    <definedName name="tss.a" localSheetId="26">[2]TSD!#REF!</definedName>
    <definedName name="tss.a" localSheetId="24">[2]TSD!#REF!</definedName>
    <definedName name="tss.a">[2]TSD!#REF!</definedName>
    <definedName name="ttra" localSheetId="3">[1]RELATÓRIO!#REF!</definedName>
    <definedName name="ttra" localSheetId="4">[1]RELATÓRIO!#REF!</definedName>
    <definedName name="ttra" localSheetId="26">[1]RELATÓRIO!#REF!</definedName>
    <definedName name="ttra" localSheetId="24">[1]RELATÓRIO!#REF!</definedName>
    <definedName name="ttra">[1]RELATÓRIO!#REF!</definedName>
    <definedName name="vala.ca" localSheetId="26">#REF!</definedName>
    <definedName name="vala.ca" localSheetId="24">#REF!</definedName>
    <definedName name="vala.ca">#REF!</definedName>
    <definedName name="VOL_MASSA" localSheetId="26">#REF!</definedName>
    <definedName name="VOL_MASSA" localSheetId="24">#REF!</definedName>
    <definedName name="VOL_MASSA">#REF!</definedName>
    <definedName name="volsubl" localSheetId="26">#REF!</definedName>
    <definedName name="volsubl" localSheetId="24">#REF!</definedName>
    <definedName name="volsubl">#REF!</definedName>
    <definedName name="Z_72ED2AC1_F8C7_49BF_9F57_9C8B89CF2366_.wvu.PrintArea" localSheetId="3" hidden="1">'DESMAT. DEST. LIMP. AREA_29'!$A$1:$J$28</definedName>
    <definedName name="Z_72ED2AC1_F8C7_49BF_9F57_9C8B89CF2366_.wvu.PrintArea" localSheetId="4" hidden="1">'DESMAT. DEST. LIMP. AREA_29 (2)'!$A$1:$N$29</definedName>
  </definedNames>
  <calcPr calcId="144525"/>
</workbook>
</file>

<file path=xl/calcChain.xml><?xml version="1.0" encoding="utf-8"?>
<calcChain xmlns="http://schemas.openxmlformats.org/spreadsheetml/2006/main">
  <c r="E39" i="55" l="1"/>
  <c r="E38" i="55"/>
  <c r="E44" i="55" l="1"/>
  <c r="E43" i="55"/>
  <c r="U37" i="60" l="1"/>
  <c r="U36" i="60"/>
  <c r="U38" i="60" s="1"/>
  <c r="U31" i="60"/>
  <c r="U26" i="60"/>
  <c r="U21" i="60"/>
  <c r="U18" i="60"/>
  <c r="U17" i="60"/>
  <c r="U14" i="60"/>
  <c r="U12" i="60"/>
  <c r="U11" i="60"/>
  <c r="U10" i="60"/>
  <c r="U9" i="60"/>
  <c r="U8" i="60"/>
  <c r="U7" i="60"/>
  <c r="U6" i="60"/>
  <c r="U15" i="60" s="1"/>
  <c r="U22" i="60" s="1"/>
  <c r="U23" i="60" s="1"/>
  <c r="U40" i="60" s="1"/>
  <c r="U41" i="60" s="1"/>
  <c r="U42" i="60" s="1"/>
  <c r="U37" i="59"/>
  <c r="U36" i="59"/>
  <c r="U38" i="59" s="1"/>
  <c r="U26" i="59"/>
  <c r="U31" i="59" s="1"/>
  <c r="U18" i="59"/>
  <c r="U17" i="59"/>
  <c r="U21" i="59" s="1"/>
  <c r="U14" i="59" s="1"/>
  <c r="U12" i="59"/>
  <c r="U11" i="59"/>
  <c r="U10" i="59"/>
  <c r="U9" i="59"/>
  <c r="U8" i="59"/>
  <c r="U7" i="59"/>
  <c r="U6" i="59"/>
  <c r="U15" i="59" s="1"/>
  <c r="U22" i="59" s="1"/>
  <c r="U23" i="59" s="1"/>
  <c r="U40" i="59" s="1"/>
  <c r="U41" i="59" l="1"/>
  <c r="U42" i="59" s="1"/>
  <c r="I24" i="50" l="1"/>
  <c r="E18" i="50"/>
  <c r="E15" i="50"/>
  <c r="E24" i="50" s="1"/>
  <c r="L43" i="58" s="1"/>
  <c r="N43" i="58" s="1"/>
  <c r="G43" i="58" s="1"/>
  <c r="H43" i="58" s="1"/>
  <c r="E9" i="50"/>
  <c r="A3" i="50"/>
  <c r="J24" i="58"/>
  <c r="K24" i="58" s="1"/>
  <c r="K23" i="58"/>
  <c r="J23" i="58"/>
  <c r="J22" i="58"/>
  <c r="K22" i="58" s="1"/>
  <c r="K21" i="58"/>
  <c r="J21" i="58"/>
  <c r="J19" i="58"/>
  <c r="K19" i="58" s="1"/>
  <c r="K18" i="58"/>
  <c r="J18" i="58"/>
  <c r="J17" i="58"/>
  <c r="K17" i="58" s="1"/>
  <c r="K16" i="58"/>
  <c r="J16" i="58"/>
  <c r="J15" i="58"/>
  <c r="K15" i="58" s="1"/>
  <c r="K13" i="58"/>
  <c r="J13" i="58"/>
  <c r="J12" i="58"/>
  <c r="K12" i="58" s="1"/>
  <c r="H44" i="58"/>
  <c r="H35" i="58"/>
  <c r="H33" i="58"/>
  <c r="H24" i="58"/>
  <c r="H23" i="58"/>
  <c r="H22" i="58"/>
  <c r="H21" i="58"/>
  <c r="H19" i="58"/>
  <c r="H18" i="58"/>
  <c r="H17" i="58"/>
  <c r="H16" i="58"/>
  <c r="H15" i="58"/>
  <c r="L13" i="58" l="1"/>
  <c r="N13" i="58" s="1"/>
  <c r="G13" i="58" s="1"/>
  <c r="H13" i="58" s="1"/>
  <c r="L18" i="58"/>
  <c r="N18" i="58" s="1"/>
  <c r="L23" i="58"/>
  <c r="N23" i="58" s="1"/>
  <c r="L30" i="58"/>
  <c r="N30" i="58" s="1"/>
  <c r="G30" i="58" s="1"/>
  <c r="H30" i="58" s="1"/>
  <c r="L38" i="58"/>
  <c r="N38" i="58" s="1"/>
  <c r="G38" i="58" s="1"/>
  <c r="H38" i="58" s="1"/>
  <c r="L42" i="58"/>
  <c r="N42" i="58" s="1"/>
  <c r="G42" i="58" s="1"/>
  <c r="H42" i="58" s="1"/>
  <c r="L15" i="58"/>
  <c r="N15" i="58" s="1"/>
  <c r="L19" i="58"/>
  <c r="N19" i="58" s="1"/>
  <c r="L24" i="58"/>
  <c r="N24" i="58" s="1"/>
  <c r="L33" i="58"/>
  <c r="N33" i="58" s="1"/>
  <c r="L39" i="58"/>
  <c r="N39" i="58" s="1"/>
  <c r="G39" i="58" s="1"/>
  <c r="H39" i="58" s="1"/>
  <c r="G28" i="53"/>
  <c r="D6" i="55"/>
  <c r="L16" i="58"/>
  <c r="N16" i="58" s="1"/>
  <c r="L21" i="58"/>
  <c r="N21" i="58" s="1"/>
  <c r="L27" i="58"/>
  <c r="N27" i="58" s="1"/>
  <c r="G27" i="58" s="1"/>
  <c r="H27" i="58" s="1"/>
  <c r="L35" i="58"/>
  <c r="N35" i="58" s="1"/>
  <c r="L40" i="58"/>
  <c r="N40" i="58" s="1"/>
  <c r="G40" i="58" s="1"/>
  <c r="H40" i="58" s="1"/>
  <c r="L44" i="58"/>
  <c r="N44" i="58" s="1"/>
  <c r="L12" i="58"/>
  <c r="N12" i="58" s="1"/>
  <c r="G12" i="58" s="1"/>
  <c r="H12" i="58" s="1"/>
  <c r="L17" i="58"/>
  <c r="N17" i="58" s="1"/>
  <c r="L22" i="58"/>
  <c r="N22" i="58" s="1"/>
  <c r="L29" i="58"/>
  <c r="N29" i="58" s="1"/>
  <c r="G29" i="58" s="1"/>
  <c r="H29" i="58" s="1"/>
  <c r="L37" i="58"/>
  <c r="N37" i="58" s="1"/>
  <c r="G37" i="58" s="1"/>
  <c r="H37" i="58" s="1"/>
  <c r="L41" i="58"/>
  <c r="N41" i="58" s="1"/>
  <c r="G41" i="58" s="1"/>
  <c r="H41" i="58" s="1"/>
  <c r="H10" i="58" l="1"/>
  <c r="H25" i="58"/>
  <c r="H45" i="58" s="1"/>
  <c r="H46" i="58" s="1"/>
  <c r="E17" i="55" s="1"/>
  <c r="E98" i="55"/>
  <c r="E74" i="55"/>
  <c r="E54" i="55"/>
  <c r="E26" i="55"/>
  <c r="E85" i="55"/>
  <c r="E63" i="55"/>
  <c r="E37" i="55"/>
  <c r="E96" i="55"/>
  <c r="E72" i="55"/>
  <c r="E52" i="55"/>
  <c r="E24" i="55"/>
  <c r="E81" i="55"/>
  <c r="E59" i="55"/>
  <c r="E35" i="55"/>
  <c r="E33" i="55"/>
  <c r="E92" i="55"/>
  <c r="E70" i="55"/>
  <c r="E50" i="55"/>
  <c r="E22" i="55"/>
  <c r="E77" i="55"/>
  <c r="E57" i="55"/>
  <c r="E29" i="55"/>
  <c r="E88" i="55"/>
  <c r="E68" i="55"/>
  <c r="E46" i="55"/>
  <c r="E20" i="55"/>
  <c r="E75" i="55"/>
  <c r="E55" i="55"/>
  <c r="E27" i="55"/>
  <c r="E58" i="55"/>
  <c r="E32" i="55"/>
  <c r="E69" i="55"/>
  <c r="E76" i="55"/>
  <c r="E56" i="55"/>
  <c r="E65" i="55"/>
  <c r="E34" i="55"/>
  <c r="E86" i="55"/>
  <c r="E64" i="55"/>
  <c r="E42" i="55"/>
  <c r="E97" i="55"/>
  <c r="E73" i="55"/>
  <c r="E53" i="55"/>
  <c r="E25" i="55"/>
  <c r="E82" i="55"/>
  <c r="E60" i="55"/>
  <c r="E36" i="55"/>
  <c r="E93" i="55"/>
  <c r="E71" i="55"/>
  <c r="E51" i="55"/>
  <c r="E23" i="55"/>
  <c r="E80" i="55"/>
  <c r="E89" i="55"/>
  <c r="E49" i="55"/>
  <c r="E21" i="55"/>
  <c r="E28" i="55"/>
  <c r="E87" i="55"/>
  <c r="E45" i="55"/>
  <c r="D17" i="55" l="1"/>
  <c r="F17" i="55" s="1"/>
  <c r="C17" i="55"/>
  <c r="B17" i="55"/>
  <c r="A17" i="55"/>
  <c r="A29" i="48" l="1"/>
  <c r="A27" i="48"/>
  <c r="A25" i="48"/>
  <c r="A23" i="48"/>
  <c r="A21" i="48"/>
  <c r="A19" i="48"/>
  <c r="A17" i="48"/>
  <c r="A15" i="48"/>
  <c r="A13" i="48"/>
  <c r="A11" i="48"/>
  <c r="A9" i="48"/>
  <c r="C97" i="55" l="1"/>
  <c r="B97" i="55"/>
  <c r="A97" i="55"/>
  <c r="D98" i="54"/>
  <c r="D97" i="54"/>
  <c r="D97" i="55" s="1"/>
  <c r="F97" i="55" s="1"/>
  <c r="K13" i="43" l="1"/>
  <c r="K10" i="57"/>
  <c r="K12" i="57" s="1"/>
  <c r="D85" i="54" l="1"/>
  <c r="Z34" i="36" l="1"/>
  <c r="Z33" i="36"/>
  <c r="Z32" i="36"/>
  <c r="O36" i="36"/>
  <c r="O35" i="36"/>
  <c r="O34" i="36"/>
  <c r="O33" i="36"/>
  <c r="O32" i="36"/>
  <c r="H36" i="36"/>
  <c r="H35" i="36"/>
  <c r="H33" i="36"/>
  <c r="H34" i="36"/>
  <c r="Z29" i="36"/>
  <c r="H32" i="36"/>
  <c r="R29" i="36"/>
  <c r="O29" i="36"/>
  <c r="Q10" i="36"/>
  <c r="P10" i="36"/>
  <c r="O10" i="36"/>
  <c r="H9" i="36"/>
  <c r="M9" i="36" s="1"/>
  <c r="R9" i="36"/>
  <c r="Q9" i="36"/>
  <c r="P9" i="36"/>
  <c r="H10" i="36" l="1"/>
  <c r="M10" i="36" s="1"/>
  <c r="D35" i="54"/>
  <c r="D38" i="54" s="1"/>
  <c r="D37" i="54"/>
  <c r="D36" i="54"/>
  <c r="D39" i="54" s="1"/>
  <c r="D34" i="54"/>
  <c r="D33" i="54"/>
  <c r="D32" i="54"/>
  <c r="G10" i="45" l="1"/>
  <c r="O10" i="45"/>
  <c r="Q10" i="56"/>
  <c r="L10" i="56"/>
  <c r="J10" i="56"/>
  <c r="P10" i="56"/>
  <c r="O10" i="56"/>
  <c r="N10" i="56"/>
  <c r="G10" i="56"/>
  <c r="F10" i="56"/>
  <c r="E10" i="56"/>
  <c r="D10" i="56"/>
  <c r="C10" i="56"/>
  <c r="B10" i="56"/>
  <c r="C4" i="48"/>
  <c r="A4" i="48"/>
  <c r="C3" i="48"/>
  <c r="C2" i="48"/>
  <c r="B3" i="42"/>
  <c r="I12" i="45" l="1"/>
  <c r="B58" i="42"/>
  <c r="A58" i="42"/>
  <c r="A114" i="42"/>
  <c r="A80" i="42" l="1"/>
  <c r="A48" i="42"/>
  <c r="D75" i="55" l="1"/>
  <c r="F75" i="55" s="1"/>
  <c r="C75" i="55"/>
  <c r="B75" i="55"/>
  <c r="A75" i="55"/>
  <c r="A60" i="42" l="1"/>
  <c r="A121" i="42"/>
  <c r="A122" i="42" s="1"/>
  <c r="A123" i="42" s="1"/>
  <c r="B60" i="42"/>
  <c r="B121" i="42"/>
  <c r="B122" i="42" s="1"/>
  <c r="B123" i="42" s="1"/>
  <c r="D60" i="42"/>
  <c r="D121" i="42"/>
  <c r="D29" i="54"/>
  <c r="D15" i="55"/>
  <c r="F15" i="55" s="1"/>
  <c r="D16" i="55"/>
  <c r="F16" i="55" s="1"/>
  <c r="H121" i="42" l="1"/>
  <c r="J121" i="42" s="1"/>
  <c r="D122" i="42"/>
  <c r="C98" i="55"/>
  <c r="D96" i="55"/>
  <c r="F96" i="55" s="1"/>
  <c r="C96" i="55"/>
  <c r="B96" i="55"/>
  <c r="D29" i="55"/>
  <c r="F29" i="55" s="1"/>
  <c r="C29" i="55"/>
  <c r="B29" i="55"/>
  <c r="A29" i="55"/>
  <c r="D28" i="55"/>
  <c r="F28" i="55" s="1"/>
  <c r="C28" i="55"/>
  <c r="B28" i="55"/>
  <c r="A28" i="55"/>
  <c r="D27" i="55"/>
  <c r="F27" i="55" s="1"/>
  <c r="C27" i="55"/>
  <c r="B27" i="55"/>
  <c r="A27" i="55"/>
  <c r="D26" i="55"/>
  <c r="F26" i="55" s="1"/>
  <c r="C26" i="55"/>
  <c r="B26" i="55"/>
  <c r="A26" i="55"/>
  <c r="A46" i="55"/>
  <c r="A45" i="55"/>
  <c r="A44" i="55"/>
  <c r="A43" i="55"/>
  <c r="A42" i="55"/>
  <c r="B98" i="55"/>
  <c r="A98" i="55"/>
  <c r="A96" i="55"/>
  <c r="B95" i="55"/>
  <c r="B37" i="49" s="1"/>
  <c r="B29" i="48" s="1"/>
  <c r="A95" i="55"/>
  <c r="C93" i="55"/>
  <c r="B93" i="55"/>
  <c r="A93" i="55"/>
  <c r="D92" i="55"/>
  <c r="F92" i="55" s="1"/>
  <c r="C92" i="55"/>
  <c r="B92" i="55"/>
  <c r="A92" i="55"/>
  <c r="B91" i="55"/>
  <c r="B34" i="49" s="1"/>
  <c r="B27" i="48" s="1"/>
  <c r="A91" i="55"/>
  <c r="D89" i="55"/>
  <c r="F89" i="55" s="1"/>
  <c r="C89" i="55"/>
  <c r="B89" i="55"/>
  <c r="A89" i="55"/>
  <c r="D88" i="55"/>
  <c r="F88" i="55" s="1"/>
  <c r="C88" i="55"/>
  <c r="B88" i="55"/>
  <c r="A88" i="55"/>
  <c r="D87" i="55"/>
  <c r="F87" i="55" s="1"/>
  <c r="C87" i="55"/>
  <c r="B87" i="55"/>
  <c r="A87" i="55"/>
  <c r="D86" i="55"/>
  <c r="F86" i="55" s="1"/>
  <c r="C86" i="55"/>
  <c r="B86" i="55"/>
  <c r="A86" i="55"/>
  <c r="D85" i="55"/>
  <c r="C85" i="55"/>
  <c r="B85" i="55"/>
  <c r="A85" i="55"/>
  <c r="B84" i="55"/>
  <c r="B31" i="49" s="1"/>
  <c r="B25" i="48" s="1"/>
  <c r="A84" i="55"/>
  <c r="C82" i="55"/>
  <c r="B82" i="55"/>
  <c r="A82" i="55"/>
  <c r="C81" i="55"/>
  <c r="B81" i="55"/>
  <c r="A81" i="55"/>
  <c r="C80" i="55"/>
  <c r="B80" i="55"/>
  <c r="A80" i="55"/>
  <c r="B79" i="55"/>
  <c r="B28" i="49" s="1"/>
  <c r="B23" i="48" s="1"/>
  <c r="A79" i="55"/>
  <c r="D77" i="55"/>
  <c r="F77" i="55" s="1"/>
  <c r="C77" i="55"/>
  <c r="B77" i="55"/>
  <c r="A77" i="55"/>
  <c r="D76" i="55"/>
  <c r="F76" i="55" s="1"/>
  <c r="C76" i="55"/>
  <c r="B76" i="55"/>
  <c r="A76" i="55"/>
  <c r="D74" i="55"/>
  <c r="F74" i="55" s="1"/>
  <c r="C74" i="55"/>
  <c r="B74" i="55"/>
  <c r="A74" i="55"/>
  <c r="D73" i="55"/>
  <c r="F73" i="55" s="1"/>
  <c r="C73" i="55"/>
  <c r="B73" i="55"/>
  <c r="A73" i="55"/>
  <c r="D72" i="55"/>
  <c r="F72" i="55" s="1"/>
  <c r="C72" i="55"/>
  <c r="B72" i="55"/>
  <c r="B114" i="42" s="1"/>
  <c r="D71" i="55"/>
  <c r="F71" i="55" s="1"/>
  <c r="C71" i="55"/>
  <c r="B71" i="55"/>
  <c r="A71" i="55"/>
  <c r="D70" i="55"/>
  <c r="F70" i="55" s="1"/>
  <c r="C70" i="55"/>
  <c r="B70" i="55"/>
  <c r="B38" i="42" s="1"/>
  <c r="A70" i="55"/>
  <c r="A38" i="42" s="1"/>
  <c r="D69" i="55"/>
  <c r="F69" i="55" s="1"/>
  <c r="C69" i="55"/>
  <c r="B69" i="55"/>
  <c r="B37" i="42" s="1"/>
  <c r="A69" i="55"/>
  <c r="A37" i="42" s="1"/>
  <c r="D68" i="55"/>
  <c r="F68" i="55" s="1"/>
  <c r="C68" i="55"/>
  <c r="B68" i="55"/>
  <c r="A68" i="55"/>
  <c r="B67" i="55"/>
  <c r="B25" i="49" s="1"/>
  <c r="B21" i="48" s="1"/>
  <c r="A67" i="55"/>
  <c r="C65" i="55"/>
  <c r="B65" i="55"/>
  <c r="A65" i="55"/>
  <c r="C64" i="55"/>
  <c r="B64" i="55"/>
  <c r="A64" i="55"/>
  <c r="C63" i="55"/>
  <c r="B63" i="55"/>
  <c r="A63" i="55"/>
  <c r="B62" i="55"/>
  <c r="B22" i="49" s="1"/>
  <c r="B19" i="48" s="1"/>
  <c r="A62" i="55"/>
  <c r="D60" i="55"/>
  <c r="F60" i="55" s="1"/>
  <c r="C60" i="55"/>
  <c r="B60" i="55"/>
  <c r="A60" i="55"/>
  <c r="D59" i="55"/>
  <c r="F59" i="55" s="1"/>
  <c r="C59" i="55"/>
  <c r="B59" i="55"/>
  <c r="A59" i="55"/>
  <c r="D58" i="55"/>
  <c r="F58" i="55" s="1"/>
  <c r="C58" i="55"/>
  <c r="B58" i="55"/>
  <c r="A58" i="55"/>
  <c r="D57" i="55"/>
  <c r="F57" i="55" s="1"/>
  <c r="C57" i="55"/>
  <c r="B57" i="55"/>
  <c r="A57" i="55"/>
  <c r="D56" i="55"/>
  <c r="F56" i="55" s="1"/>
  <c r="C56" i="55"/>
  <c r="B56" i="55"/>
  <c r="A56" i="55"/>
  <c r="D55" i="55"/>
  <c r="F55" i="55" s="1"/>
  <c r="C55" i="55"/>
  <c r="B55" i="55"/>
  <c r="A55" i="55"/>
  <c r="D54" i="55"/>
  <c r="F54" i="55" s="1"/>
  <c r="C54" i="55"/>
  <c r="B54" i="55"/>
  <c r="A54" i="55"/>
  <c r="D53" i="55"/>
  <c r="F53" i="55" s="1"/>
  <c r="C53" i="55"/>
  <c r="B53" i="55"/>
  <c r="D52" i="55"/>
  <c r="F52" i="55" s="1"/>
  <c r="C52" i="55"/>
  <c r="B52" i="55"/>
  <c r="A52" i="55"/>
  <c r="D51" i="55"/>
  <c r="F51" i="55" s="1"/>
  <c r="C51" i="55"/>
  <c r="B51" i="55"/>
  <c r="B71" i="42" s="1"/>
  <c r="A51" i="55"/>
  <c r="D50" i="55"/>
  <c r="F50" i="55" s="1"/>
  <c r="C50" i="55"/>
  <c r="B50" i="55"/>
  <c r="A50" i="55"/>
  <c r="D49" i="55"/>
  <c r="C49" i="55"/>
  <c r="B49" i="55"/>
  <c r="B34" i="42" s="1"/>
  <c r="A49" i="55"/>
  <c r="A34" i="42" s="1"/>
  <c r="B48" i="55"/>
  <c r="B19" i="49" s="1"/>
  <c r="B17" i="48" s="1"/>
  <c r="A48" i="55"/>
  <c r="C46" i="55"/>
  <c r="B46" i="55"/>
  <c r="C45" i="55"/>
  <c r="B45" i="55"/>
  <c r="D44" i="55"/>
  <c r="F44" i="55" s="1"/>
  <c r="C44" i="55"/>
  <c r="B44" i="55"/>
  <c r="D43" i="55"/>
  <c r="F43" i="55" s="1"/>
  <c r="C43" i="55"/>
  <c r="B43" i="55"/>
  <c r="C42" i="55"/>
  <c r="B42" i="55"/>
  <c r="B41" i="55"/>
  <c r="B16" i="49" s="1"/>
  <c r="B15" i="48" s="1"/>
  <c r="A41" i="55"/>
  <c r="D39" i="55"/>
  <c r="F39" i="55" s="1"/>
  <c r="C39" i="55"/>
  <c r="B39" i="55"/>
  <c r="A39" i="55"/>
  <c r="D38" i="55"/>
  <c r="F38" i="55" s="1"/>
  <c r="C38" i="55"/>
  <c r="B38" i="55"/>
  <c r="A38" i="55"/>
  <c r="D37" i="55"/>
  <c r="F37" i="55" s="1"/>
  <c r="C37" i="55"/>
  <c r="B37" i="55"/>
  <c r="A37" i="55"/>
  <c r="D36" i="55"/>
  <c r="F36" i="55" s="1"/>
  <c r="C36" i="55"/>
  <c r="B36" i="55"/>
  <c r="A36" i="55"/>
  <c r="D35" i="55"/>
  <c r="F35" i="55" s="1"/>
  <c r="C35" i="55"/>
  <c r="B35" i="55"/>
  <c r="A35" i="55"/>
  <c r="D34" i="55"/>
  <c r="F34" i="55" s="1"/>
  <c r="C34" i="55"/>
  <c r="B34" i="55"/>
  <c r="B10" i="42" s="1"/>
  <c r="A34" i="55"/>
  <c r="A10" i="42" s="1"/>
  <c r="D33" i="55"/>
  <c r="F33" i="55" s="1"/>
  <c r="C33" i="55"/>
  <c r="B33" i="55"/>
  <c r="B9" i="42" s="1"/>
  <c r="A33" i="55"/>
  <c r="A9" i="42" s="1"/>
  <c r="D32" i="55"/>
  <c r="F32" i="55" s="1"/>
  <c r="C32" i="55"/>
  <c r="B32" i="55"/>
  <c r="A32" i="55"/>
  <c r="B31" i="55"/>
  <c r="A31" i="55"/>
  <c r="B19" i="55"/>
  <c r="B10" i="49" s="1"/>
  <c r="B11" i="48" s="1"/>
  <c r="A19" i="55"/>
  <c r="D25" i="55"/>
  <c r="F25" i="55" s="1"/>
  <c r="C25" i="55"/>
  <c r="B25" i="55"/>
  <c r="A25" i="55"/>
  <c r="D24" i="55"/>
  <c r="F24" i="55" s="1"/>
  <c r="C24" i="55"/>
  <c r="B24" i="55"/>
  <c r="A24" i="55"/>
  <c r="D23" i="55"/>
  <c r="F23" i="55" s="1"/>
  <c r="C23" i="55"/>
  <c r="B23" i="55"/>
  <c r="A23" i="55"/>
  <c r="D22" i="55"/>
  <c r="F22" i="55" s="1"/>
  <c r="C22" i="55"/>
  <c r="B22" i="55"/>
  <c r="A22" i="55"/>
  <c r="C21" i="55"/>
  <c r="B21" i="55"/>
  <c r="A21" i="55"/>
  <c r="C20" i="55"/>
  <c r="B20" i="55"/>
  <c r="B10" i="55"/>
  <c r="B7" i="49" s="1"/>
  <c r="B9" i="48" s="1"/>
  <c r="A10" i="55"/>
  <c r="A20" i="55"/>
  <c r="D34" i="42" l="1"/>
  <c r="F49" i="55"/>
  <c r="F85" i="55"/>
  <c r="G89" i="55" s="1"/>
  <c r="C32" i="49" s="1"/>
  <c r="A5" i="42"/>
  <c r="B13" i="49"/>
  <c r="B13" i="48" s="1"/>
  <c r="D48" i="42"/>
  <c r="D80" i="42"/>
  <c r="D88" i="42"/>
  <c r="D50" i="42"/>
  <c r="D96" i="42"/>
  <c r="D52" i="42"/>
  <c r="D104" i="42"/>
  <c r="D54" i="42"/>
  <c r="D116" i="42"/>
  <c r="D59" i="42"/>
  <c r="D130" i="42"/>
  <c r="D62" i="42"/>
  <c r="D46" i="42"/>
  <c r="D71" i="42"/>
  <c r="A49" i="42"/>
  <c r="A84" i="42"/>
  <c r="A51" i="42"/>
  <c r="A92" i="42"/>
  <c r="A100" i="42"/>
  <c r="A101" i="42" s="1"/>
  <c r="A102" i="42" s="1"/>
  <c r="A53" i="42"/>
  <c r="A108" i="42"/>
  <c r="A109" i="42" s="1"/>
  <c r="A110" i="42" s="1"/>
  <c r="A55" i="42"/>
  <c r="A113" i="42"/>
  <c r="A57" i="42"/>
  <c r="A36" i="42"/>
  <c r="D37" i="42"/>
  <c r="A125" i="42"/>
  <c r="A61" i="42"/>
  <c r="A69" i="42"/>
  <c r="A45" i="42"/>
  <c r="A47" i="42"/>
  <c r="A76" i="42"/>
  <c r="B49" i="42"/>
  <c r="B84" i="42"/>
  <c r="B51" i="42"/>
  <c r="B92" i="42"/>
  <c r="B100" i="42"/>
  <c r="B101" i="42" s="1"/>
  <c r="B102" i="42" s="1"/>
  <c r="B53" i="42"/>
  <c r="B108" i="42"/>
  <c r="B55" i="42"/>
  <c r="B61" i="42"/>
  <c r="B125" i="42"/>
  <c r="B45" i="42"/>
  <c r="B69" i="42"/>
  <c r="B76" i="42"/>
  <c r="B47" i="42"/>
  <c r="D84" i="42"/>
  <c r="D49" i="42"/>
  <c r="D92" i="42"/>
  <c r="D51" i="42"/>
  <c r="D100" i="42"/>
  <c r="D53" i="42"/>
  <c r="D108" i="42"/>
  <c r="D55" i="42"/>
  <c r="D114" i="42"/>
  <c r="D58" i="42"/>
  <c r="D125" i="42"/>
  <c r="D61" i="42"/>
  <c r="D45" i="42"/>
  <c r="D69" i="42"/>
  <c r="D76" i="42"/>
  <c r="D47" i="42"/>
  <c r="A88" i="42"/>
  <c r="A50" i="42"/>
  <c r="A52" i="42"/>
  <c r="A96" i="42"/>
  <c r="A104" i="42"/>
  <c r="A105" i="42" s="1"/>
  <c r="A106" i="42" s="1"/>
  <c r="A54" i="42"/>
  <c r="D38" i="42"/>
  <c r="A59" i="42"/>
  <c r="A116" i="42"/>
  <c r="A130" i="42"/>
  <c r="A62" i="42"/>
  <c r="B48" i="42"/>
  <c r="B80" i="42"/>
  <c r="B88" i="42"/>
  <c r="B50" i="42"/>
  <c r="B96" i="42"/>
  <c r="B52" i="42"/>
  <c r="B104" i="42"/>
  <c r="B105" i="42" s="1"/>
  <c r="B106" i="42" s="1"/>
  <c r="B54" i="42"/>
  <c r="B59" i="42"/>
  <c r="B116" i="42"/>
  <c r="B62" i="42"/>
  <c r="B130" i="42"/>
  <c r="D123" i="42"/>
  <c r="H123" i="42" s="1"/>
  <c r="J123" i="42" s="1"/>
  <c r="H122" i="42"/>
  <c r="J122" i="42" s="1"/>
  <c r="A66" i="42"/>
  <c r="A44" i="42"/>
  <c r="A28" i="42"/>
  <c r="A71" i="42"/>
  <c r="A46" i="42"/>
  <c r="B46" i="42"/>
  <c r="D9" i="42"/>
  <c r="D17" i="42"/>
  <c r="D25" i="42"/>
  <c r="A16" i="42"/>
  <c r="A24" i="42"/>
  <c r="B24" i="42"/>
  <c r="B16" i="42"/>
  <c r="D10" i="42"/>
  <c r="D16" i="42"/>
  <c r="D24" i="42"/>
  <c r="A25" i="42"/>
  <c r="A17" i="42"/>
  <c r="B17" i="42"/>
  <c r="B25" i="42"/>
  <c r="C16" i="55"/>
  <c r="B16" i="55"/>
  <c r="A16" i="55"/>
  <c r="C15" i="55"/>
  <c r="B15" i="55"/>
  <c r="A15" i="55"/>
  <c r="D14" i="55"/>
  <c r="F14" i="55" s="1"/>
  <c r="C14" i="55"/>
  <c r="B14" i="55"/>
  <c r="A14" i="55"/>
  <c r="D13" i="55"/>
  <c r="F13" i="55" s="1"/>
  <c r="C13" i="55"/>
  <c r="B13" i="55"/>
  <c r="A13" i="55"/>
  <c r="D12" i="55"/>
  <c r="F12" i="55" s="1"/>
  <c r="D11" i="55"/>
  <c r="C12" i="55"/>
  <c r="B12" i="55"/>
  <c r="A12" i="55"/>
  <c r="C11" i="55"/>
  <c r="B11" i="55"/>
  <c r="A11" i="55"/>
  <c r="D109" i="42" l="1"/>
  <c r="H109" i="42" s="1"/>
  <c r="J109" i="42" s="1"/>
  <c r="D110" i="42"/>
  <c r="H110" i="42" s="1"/>
  <c r="J110" i="42" s="1"/>
  <c r="H108" i="42"/>
  <c r="J108" i="42" s="1"/>
  <c r="H104" i="42"/>
  <c r="J104" i="42" s="1"/>
  <c r="D105" i="42"/>
  <c r="H100" i="42"/>
  <c r="J100" i="42" s="1"/>
  <c r="D101" i="42"/>
  <c r="H101" i="42" s="1"/>
  <c r="J101" i="42" s="1"/>
  <c r="D102" i="42"/>
  <c r="H102" i="42" s="1"/>
  <c r="J102" i="42" s="1"/>
  <c r="B110" i="42"/>
  <c r="B109" i="42"/>
  <c r="R54" i="36"/>
  <c r="D21" i="54"/>
  <c r="D21" i="55" s="1"/>
  <c r="F21" i="55" s="1"/>
  <c r="H105" i="42" l="1"/>
  <c r="J105" i="42" s="1"/>
  <c r="D106" i="42"/>
  <c r="H106" i="42" s="1"/>
  <c r="J106" i="42" s="1"/>
  <c r="G77" i="55" l="1"/>
  <c r="C26" i="49" s="1"/>
  <c r="G60" i="55"/>
  <c r="C20" i="49" s="1"/>
  <c r="G39" i="55"/>
  <c r="C14" i="49" s="1"/>
  <c r="D93" i="54"/>
  <c r="D93" i="55" s="1"/>
  <c r="F93" i="55" l="1"/>
  <c r="G93" i="55" s="1"/>
  <c r="C35" i="49" s="1"/>
  <c r="G4" i="53"/>
  <c r="G14" i="53" l="1"/>
  <c r="H14" i="53" s="1"/>
  <c r="G9" i="53"/>
  <c r="H9" i="53" s="1"/>
  <c r="G12" i="53"/>
  <c r="H12" i="53" s="1"/>
  <c r="G15" i="53"/>
  <c r="H15" i="53" s="1"/>
  <c r="G13" i="53"/>
  <c r="H13" i="53" s="1"/>
  <c r="G16" i="53"/>
  <c r="H16" i="53" s="1"/>
  <c r="G18" i="53"/>
  <c r="H18" i="53" s="1"/>
  <c r="G17" i="53"/>
  <c r="H17" i="53" s="1"/>
  <c r="G19" i="53"/>
  <c r="H19" i="53" s="1"/>
  <c r="G10" i="53"/>
  <c r="H10" i="53" s="1"/>
  <c r="G20" i="53"/>
  <c r="H20" i="53" s="1"/>
  <c r="G11" i="53"/>
  <c r="H11" i="53" s="1"/>
  <c r="G21" i="53"/>
  <c r="H21" i="53" s="1"/>
  <c r="H23" i="53" l="1"/>
  <c r="H24" i="53" s="1"/>
  <c r="H27" i="53" l="1"/>
  <c r="H28" i="53" s="1"/>
  <c r="H29" i="53" l="1"/>
  <c r="E11" i="55" s="1"/>
  <c r="F11" i="55" s="1"/>
  <c r="E9" i="52"/>
  <c r="H9" i="52" s="1"/>
  <c r="G17" i="55" l="1"/>
  <c r="I9" i="52"/>
  <c r="J9" i="52" s="1"/>
  <c r="K9" i="52" s="1"/>
  <c r="C8" i="49" l="1"/>
  <c r="D98" i="55"/>
  <c r="K15" i="52"/>
  <c r="A2" i="42"/>
  <c r="A1" i="42"/>
  <c r="F98" i="55" l="1"/>
  <c r="G98" i="55" s="1"/>
  <c r="C38" i="49" s="1"/>
  <c r="A3" i="48"/>
  <c r="A2" i="48"/>
  <c r="B1" i="42" l="1"/>
  <c r="B2" i="42"/>
  <c r="E34" i="48" l="1"/>
  <c r="F34" i="48" s="1"/>
  <c r="G34" i="48" s="1"/>
  <c r="H34" i="48" s="1"/>
  <c r="I34" i="48" s="1"/>
  <c r="J34" i="48" s="1"/>
  <c r="K34" i="48" s="1"/>
  <c r="L34" i="48" s="1"/>
  <c r="M34" i="48" s="1"/>
  <c r="N34" i="48" s="1"/>
  <c r="O34" i="48" s="1"/>
  <c r="P34" i="48" s="1"/>
  <c r="G10" i="43" l="1"/>
  <c r="F10" i="43"/>
  <c r="E10" i="43"/>
  <c r="H10" i="43" l="1"/>
  <c r="I10" i="43"/>
  <c r="J10" i="43" l="1"/>
  <c r="K10" i="43" s="1"/>
  <c r="H38" i="42" l="1"/>
  <c r="J38" i="42" s="1"/>
  <c r="H37" i="42"/>
  <c r="J37" i="42" s="1"/>
  <c r="H34" i="42"/>
  <c r="J34" i="42" s="1"/>
  <c r="H84" i="42"/>
  <c r="D131" i="42"/>
  <c r="B131" i="42"/>
  <c r="B132" i="42" s="1"/>
  <c r="B133" i="42" s="1"/>
  <c r="A131" i="42"/>
  <c r="A132" i="42" s="1"/>
  <c r="A133" i="42" s="1"/>
  <c r="D126" i="42"/>
  <c r="B126" i="42"/>
  <c r="B127" i="42" s="1"/>
  <c r="B128" i="42" s="1"/>
  <c r="A126" i="42"/>
  <c r="A127" i="42" s="1"/>
  <c r="A128" i="42" s="1"/>
  <c r="D117" i="42"/>
  <c r="B117" i="42"/>
  <c r="B118" i="42" s="1"/>
  <c r="B119" i="42" s="1"/>
  <c r="A117" i="42"/>
  <c r="A118" i="42" s="1"/>
  <c r="A119" i="42" s="1"/>
  <c r="E126" i="42"/>
  <c r="E117" i="42"/>
  <c r="D97" i="42"/>
  <c r="B97" i="42"/>
  <c r="B98" i="42" s="1"/>
  <c r="A97" i="42"/>
  <c r="A98" i="42" s="1"/>
  <c r="H92" i="42"/>
  <c r="H88" i="42"/>
  <c r="H80" i="42"/>
  <c r="H76" i="42"/>
  <c r="H62" i="42"/>
  <c r="J62" i="42" s="1"/>
  <c r="H58" i="42"/>
  <c r="J58" i="42" s="1"/>
  <c r="H59" i="42"/>
  <c r="J59" i="42" s="1"/>
  <c r="H60" i="42"/>
  <c r="J60" i="42" s="1"/>
  <c r="H61" i="42"/>
  <c r="J61" i="42" s="1"/>
  <c r="H46" i="42"/>
  <c r="J46" i="42" s="1"/>
  <c r="H47" i="42"/>
  <c r="J47" i="42" s="1"/>
  <c r="H48" i="42"/>
  <c r="J48" i="42" s="1"/>
  <c r="H49" i="42"/>
  <c r="J49" i="42" s="1"/>
  <c r="H50" i="42"/>
  <c r="J50" i="42" s="1"/>
  <c r="H51" i="42"/>
  <c r="J51" i="42" s="1"/>
  <c r="H52" i="42"/>
  <c r="J52" i="42" s="1"/>
  <c r="H53" i="42"/>
  <c r="J53" i="42" s="1"/>
  <c r="H54" i="42"/>
  <c r="J54" i="42" s="1"/>
  <c r="H55" i="42"/>
  <c r="J55" i="42" s="1"/>
  <c r="H24" i="42"/>
  <c r="J24" i="42" s="1"/>
  <c r="J63" i="42" l="1"/>
  <c r="D81" i="54" s="1"/>
  <c r="D81" i="55" s="1"/>
  <c r="F81" i="55" s="1"/>
  <c r="J35" i="42"/>
  <c r="D63" i="54" s="1"/>
  <c r="D63" i="55" s="1"/>
  <c r="F63" i="55" s="1"/>
  <c r="J39" i="42"/>
  <c r="D80" i="54" s="1"/>
  <c r="D80" i="55" s="1"/>
  <c r="F80" i="55" s="1"/>
  <c r="H69" i="42"/>
  <c r="J69" i="42" s="1"/>
  <c r="D132" i="42"/>
  <c r="H131" i="42"/>
  <c r="J131" i="42" s="1"/>
  <c r="H130" i="42"/>
  <c r="J130" i="42" s="1"/>
  <c r="D127" i="42"/>
  <c r="H126" i="42"/>
  <c r="J126" i="42" s="1"/>
  <c r="H125" i="42"/>
  <c r="J125" i="42" s="1"/>
  <c r="D118" i="42"/>
  <c r="H117" i="42"/>
  <c r="J117" i="42" s="1"/>
  <c r="H116" i="42"/>
  <c r="J116" i="42" s="1"/>
  <c r="H114" i="42"/>
  <c r="J114" i="42" s="1"/>
  <c r="D98" i="42"/>
  <c r="H97" i="42"/>
  <c r="J97" i="42" s="1"/>
  <c r="H96" i="42"/>
  <c r="J96" i="42" s="1"/>
  <c r="H132" i="42" l="1"/>
  <c r="J132" i="42" s="1"/>
  <c r="D133" i="42"/>
  <c r="H133" i="42" s="1"/>
  <c r="J133" i="42" s="1"/>
  <c r="H127" i="42"/>
  <c r="J127" i="42" s="1"/>
  <c r="D128" i="42"/>
  <c r="H128" i="42" s="1"/>
  <c r="J128" i="42" s="1"/>
  <c r="H118" i="42"/>
  <c r="J118" i="42" s="1"/>
  <c r="D119" i="42"/>
  <c r="H119" i="42" s="1"/>
  <c r="J119" i="42" s="1"/>
  <c r="H98" i="42"/>
  <c r="J98" i="42" s="1"/>
  <c r="J134" i="42" l="1"/>
  <c r="D82" i="54" s="1"/>
  <c r="D82" i="55" s="1"/>
  <c r="D94" i="42"/>
  <c r="B94" i="42"/>
  <c r="A93" i="42"/>
  <c r="D89" i="42"/>
  <c r="B90" i="42"/>
  <c r="A90" i="42"/>
  <c r="J84" i="42"/>
  <c r="B86" i="42"/>
  <c r="A85" i="42"/>
  <c r="B82" i="42"/>
  <c r="A81" i="42"/>
  <c r="D78" i="42"/>
  <c r="B78" i="42"/>
  <c r="A77" i="42"/>
  <c r="D72" i="42"/>
  <c r="B73" i="42"/>
  <c r="A72" i="42"/>
  <c r="A74" i="42" s="1"/>
  <c r="H45" i="42"/>
  <c r="J45" i="42" s="1"/>
  <c r="H25" i="42"/>
  <c r="J25" i="42" s="1"/>
  <c r="H17" i="42"/>
  <c r="J17" i="42" s="1"/>
  <c r="H16" i="42"/>
  <c r="J16" i="42" s="1"/>
  <c r="F82" i="55" l="1"/>
  <c r="G82" i="55" s="1"/>
  <c r="C29" i="49" s="1"/>
  <c r="J56" i="42"/>
  <c r="D64" i="54" s="1"/>
  <c r="D64" i="55" s="1"/>
  <c r="F64" i="55" s="1"/>
  <c r="J18" i="42"/>
  <c r="D45" i="54" s="1"/>
  <c r="D45" i="55" s="1"/>
  <c r="F45" i="55" s="1"/>
  <c r="H94" i="42"/>
  <c r="J94" i="42" s="1"/>
  <c r="H89" i="42"/>
  <c r="J89" i="42" s="1"/>
  <c r="H78" i="42"/>
  <c r="J78" i="42" s="1"/>
  <c r="J26" i="42"/>
  <c r="D46" i="54" s="1"/>
  <c r="D46" i="55" s="1"/>
  <c r="F46" i="55" s="1"/>
  <c r="H72" i="42"/>
  <c r="J72" i="42" s="1"/>
  <c r="D74" i="42"/>
  <c r="H74" i="42" s="1"/>
  <c r="J74" i="42" s="1"/>
  <c r="D73" i="42"/>
  <c r="H73" i="42" s="1"/>
  <c r="J73" i="42" s="1"/>
  <c r="B85" i="42"/>
  <c r="B81" i="42"/>
  <c r="A78" i="42"/>
  <c r="A82" i="42"/>
  <c r="A94" i="42"/>
  <c r="A86" i="42"/>
  <c r="D90" i="42"/>
  <c r="D85" i="42"/>
  <c r="B93" i="42"/>
  <c r="B77" i="42"/>
  <c r="J80" i="42"/>
  <c r="D81" i="42"/>
  <c r="A89" i="42"/>
  <c r="B72" i="42"/>
  <c r="B74" i="42" s="1"/>
  <c r="A73" i="42"/>
  <c r="J76" i="42"/>
  <c r="D77" i="42"/>
  <c r="D82" i="42"/>
  <c r="D86" i="42"/>
  <c r="B89" i="42"/>
  <c r="J92" i="42"/>
  <c r="D93" i="42"/>
  <c r="H93" i="42" s="1"/>
  <c r="H71" i="42"/>
  <c r="J71" i="42" s="1"/>
  <c r="J88" i="42"/>
  <c r="H77" i="42" l="1"/>
  <c r="J77" i="42" s="1"/>
  <c r="H85" i="42"/>
  <c r="J85" i="42" s="1"/>
  <c r="H90" i="42"/>
  <c r="J90" i="42" s="1"/>
  <c r="H86" i="42"/>
  <c r="J86" i="42" s="1"/>
  <c r="H81" i="42"/>
  <c r="J81" i="42" s="1"/>
  <c r="H82" i="42"/>
  <c r="J82" i="42" s="1"/>
  <c r="J93" i="42"/>
  <c r="J111" i="42" l="1"/>
  <c r="D65" i="54" s="1"/>
  <c r="D65" i="55" s="1"/>
  <c r="F65" i="55" l="1"/>
  <c r="G65" i="55" s="1"/>
  <c r="C23" i="49" s="1"/>
  <c r="H18" i="41"/>
  <c r="H15" i="41"/>
  <c r="H12" i="41"/>
  <c r="Z12" i="41" s="1"/>
  <c r="Y21" i="41" l="1"/>
  <c r="Z21" i="41"/>
  <c r="V21" i="41"/>
  <c r="W21" i="41"/>
  <c r="X21" i="41"/>
  <c r="Z18" i="41"/>
  <c r="Y18" i="41"/>
  <c r="V18" i="41"/>
  <c r="W18" i="41"/>
  <c r="X18" i="41"/>
  <c r="W12" i="41"/>
  <c r="Y15" i="41"/>
  <c r="Z15" i="41"/>
  <c r="X15" i="41"/>
  <c r="V15" i="41"/>
  <c r="W15" i="41"/>
  <c r="Y12" i="41"/>
  <c r="AA12" i="41" s="1"/>
  <c r="X12" i="41"/>
  <c r="V12" i="41"/>
  <c r="AA21" i="41" l="1"/>
  <c r="AA18" i="41"/>
  <c r="AA15" i="41"/>
  <c r="H11" i="41" l="1"/>
  <c r="Y11" i="41" l="1"/>
  <c r="X11" i="41"/>
  <c r="Z11" i="41"/>
  <c r="V11" i="41"/>
  <c r="W11" i="41"/>
  <c r="U23" i="41"/>
  <c r="T23" i="41"/>
  <c r="E22" i="39"/>
  <c r="F16" i="38"/>
  <c r="J16" i="38" s="1"/>
  <c r="F13" i="38"/>
  <c r="J13" i="38" s="1"/>
  <c r="F10" i="38"/>
  <c r="J10" i="38" s="1"/>
  <c r="AA11" i="41" l="1"/>
  <c r="H23" i="41"/>
  <c r="I16" i="38"/>
  <c r="K16" i="38" s="1"/>
  <c r="I13" i="38"/>
  <c r="K13" i="38" s="1"/>
  <c r="I10" i="38"/>
  <c r="K10" i="38" s="1"/>
  <c r="L10" i="38" s="1"/>
  <c r="L13" i="38" l="1"/>
  <c r="L16" i="38" s="1"/>
  <c r="V23" i="41"/>
  <c r="W23" i="41"/>
  <c r="X23" i="41"/>
  <c r="Z23" i="41"/>
  <c r="Y23" i="41"/>
  <c r="D20" i="54" l="1"/>
  <c r="D20" i="55" s="1"/>
  <c r="H10" i="42"/>
  <c r="J10" i="42" s="1"/>
  <c r="AA23" i="41"/>
  <c r="H9" i="42"/>
  <c r="J9" i="42" s="1"/>
  <c r="Z37" i="36"/>
  <c r="Y27" i="36"/>
  <c r="R27" i="36"/>
  <c r="Q27" i="36"/>
  <c r="P27" i="36"/>
  <c r="H27" i="36"/>
  <c r="M27" i="36" s="1"/>
  <c r="Y25" i="36"/>
  <c r="R25" i="36"/>
  <c r="Q25" i="36"/>
  <c r="P25" i="36"/>
  <c r="H25" i="36"/>
  <c r="M25" i="36" s="1"/>
  <c r="R24" i="36"/>
  <c r="Q24" i="36"/>
  <c r="P24" i="36"/>
  <c r="H24" i="36"/>
  <c r="M24" i="36" s="1"/>
  <c r="Y21" i="36"/>
  <c r="Q21" i="36"/>
  <c r="P21" i="36"/>
  <c r="O21" i="36"/>
  <c r="Y20" i="36"/>
  <c r="Q20" i="36"/>
  <c r="P20" i="36"/>
  <c r="O20" i="36"/>
  <c r="R19" i="36"/>
  <c r="Q19" i="36"/>
  <c r="P19" i="36"/>
  <c r="H19" i="36"/>
  <c r="M19" i="36" s="1"/>
  <c r="R18" i="36"/>
  <c r="Q18" i="36"/>
  <c r="P18" i="36"/>
  <c r="H18" i="36"/>
  <c r="M18" i="36" s="1"/>
  <c r="Q17" i="36"/>
  <c r="P17" i="36"/>
  <c r="O17" i="36"/>
  <c r="H17" i="36" s="1"/>
  <c r="M17" i="36" s="1"/>
  <c r="R16" i="36"/>
  <c r="Q16" i="36"/>
  <c r="P16" i="36"/>
  <c r="H16" i="36"/>
  <c r="M16" i="36" s="1"/>
  <c r="Q15" i="36"/>
  <c r="P15" i="36"/>
  <c r="O15" i="36"/>
  <c r="H15" i="36" s="1"/>
  <c r="M15" i="36" s="1"/>
  <c r="R14" i="36"/>
  <c r="Q14" i="36"/>
  <c r="P14" i="36"/>
  <c r="H14" i="36"/>
  <c r="M14" i="36" s="1"/>
  <c r="Q13" i="36"/>
  <c r="P13" i="36"/>
  <c r="O13" i="36"/>
  <c r="H13" i="36" s="1"/>
  <c r="M13" i="36" s="1"/>
  <c r="R12" i="36"/>
  <c r="Q12" i="36"/>
  <c r="P12" i="36"/>
  <c r="H12" i="36"/>
  <c r="M12" i="36" s="1"/>
  <c r="Q11" i="36"/>
  <c r="P11" i="36"/>
  <c r="O11" i="36"/>
  <c r="H11" i="36"/>
  <c r="M11" i="36" s="1"/>
  <c r="F20" i="55" l="1"/>
  <c r="G29" i="55" s="1"/>
  <c r="C11" i="49" s="1"/>
  <c r="J11" i="42"/>
  <c r="H21" i="36"/>
  <c r="M21" i="36" s="1"/>
  <c r="H20" i="36"/>
  <c r="M20" i="36" s="1"/>
  <c r="R20" i="36"/>
  <c r="D42" i="54" l="1"/>
  <c r="D42" i="55" s="1"/>
  <c r="Y42" i="36"/>
  <c r="F42" i="55" l="1"/>
  <c r="G46" i="55" s="1"/>
  <c r="G100" i="55" s="1"/>
  <c r="A30" i="33"/>
  <c r="A78" i="33" s="1"/>
  <c r="J22" i="28"/>
  <c r="I17" i="28"/>
  <c r="I12" i="28"/>
  <c r="I13" i="29"/>
  <c r="K20" i="30"/>
  <c r="K15" i="30"/>
  <c r="K23" i="30"/>
  <c r="K24" i="30"/>
  <c r="K25" i="30"/>
  <c r="K25" i="32"/>
  <c r="K24" i="32"/>
  <c r="K23" i="32"/>
  <c r="K22" i="32"/>
  <c r="K21" i="32"/>
  <c r="K20" i="32"/>
  <c r="K19" i="32"/>
  <c r="K18" i="32"/>
  <c r="K17" i="32"/>
  <c r="K16" i="32"/>
  <c r="K15" i="32"/>
  <c r="K14" i="32"/>
  <c r="K13" i="32"/>
  <c r="K12" i="32"/>
  <c r="K11" i="32"/>
  <c r="K10" i="32"/>
  <c r="K9" i="32"/>
  <c r="K8" i="32"/>
  <c r="K7" i="32"/>
  <c r="J15" i="31"/>
  <c r="L15" i="31" s="1"/>
  <c r="J14" i="31"/>
  <c r="L14" i="31"/>
  <c r="J13" i="31"/>
  <c r="L13" i="31" s="1"/>
  <c r="J12" i="31"/>
  <c r="L12" i="31" s="1"/>
  <c r="J11" i="31"/>
  <c r="L11" i="31" s="1"/>
  <c r="J10" i="31"/>
  <c r="L10" i="31" s="1"/>
  <c r="J9" i="31"/>
  <c r="L9" i="31" s="1"/>
  <c r="J8" i="31"/>
  <c r="L8" i="31" s="1"/>
  <c r="J7" i="31"/>
  <c r="L7" i="31" s="1"/>
  <c r="J6" i="31"/>
  <c r="L6" i="31" s="1"/>
  <c r="K22" i="30"/>
  <c r="K21" i="30"/>
  <c r="K19" i="30"/>
  <c r="K18" i="30"/>
  <c r="K17" i="30"/>
  <c r="K16" i="30"/>
  <c r="K14" i="30"/>
  <c r="K13" i="30"/>
  <c r="K12" i="30"/>
  <c r="K11" i="30"/>
  <c r="K10" i="30"/>
  <c r="K9" i="30"/>
  <c r="K8" i="30"/>
  <c r="K7" i="30"/>
  <c r="K6" i="30"/>
  <c r="J12" i="29"/>
  <c r="J11" i="29"/>
  <c r="J7" i="29"/>
  <c r="J24" i="28"/>
  <c r="J16" i="28"/>
  <c r="J15" i="28"/>
  <c r="J14" i="28"/>
  <c r="J17" i="28" s="1"/>
  <c r="J11" i="28"/>
  <c r="J12" i="28" s="1"/>
  <c r="J10" i="28"/>
  <c r="I8" i="28"/>
  <c r="J7" i="28"/>
  <c r="J6" i="28"/>
  <c r="J8" i="28" s="1"/>
  <c r="G13" i="26"/>
  <c r="G14" i="26"/>
  <c r="I14" i="26" s="1"/>
  <c r="G26" i="26"/>
  <c r="G27" i="26"/>
  <c r="M29" i="26"/>
  <c r="K33" i="26"/>
  <c r="G12" i="21"/>
  <c r="I12" i="21" s="1"/>
  <c r="G13" i="21"/>
  <c r="I13" i="21" s="1"/>
  <c r="G25" i="21"/>
  <c r="G26" i="21"/>
  <c r="H32" i="21"/>
  <c r="A20" i="33"/>
  <c r="A68" i="33" s="1"/>
  <c r="A32" i="33"/>
  <c r="A80" i="33" s="1"/>
  <c r="D20" i="33"/>
  <c r="P20" i="33" s="1"/>
  <c r="D8" i="12"/>
  <c r="G31" i="21"/>
  <c r="H33" i="21" s="1"/>
  <c r="C17" i="49" l="1"/>
  <c r="K29" i="32"/>
  <c r="K30" i="32" s="1"/>
  <c r="K31" i="32" s="1"/>
  <c r="K31" i="30"/>
  <c r="K32" i="30" s="1"/>
  <c r="K33" i="30" s="1"/>
  <c r="G32" i="26"/>
  <c r="K34" i="26" s="1"/>
  <c r="I13" i="26"/>
  <c r="I28" i="21"/>
  <c r="J13" i="29"/>
  <c r="J33" i="28"/>
  <c r="I5" i="27" s="1"/>
  <c r="J5" i="27" s="1"/>
  <c r="A26" i="33"/>
  <c r="A74" i="33" s="1"/>
  <c r="A16" i="33"/>
  <c r="A64" i="33" s="1"/>
  <c r="A24" i="33"/>
  <c r="A72" i="33" s="1"/>
  <c r="A18" i="33"/>
  <c r="A66" i="33" s="1"/>
  <c r="A22" i="33"/>
  <c r="A70" i="33" s="1"/>
  <c r="A28" i="33"/>
  <c r="A76" i="33" s="1"/>
  <c r="D32" i="33"/>
  <c r="J32" i="33" s="1"/>
  <c r="K33" i="32"/>
  <c r="K32" i="32"/>
  <c r="L17" i="31"/>
  <c r="L18" i="31" s="1"/>
  <c r="L19" i="31" s="1"/>
  <c r="K34" i="30"/>
  <c r="K35" i="30"/>
  <c r="J20" i="33"/>
  <c r="J15" i="29"/>
  <c r="I6" i="27" s="1"/>
  <c r="J6" i="27" s="1"/>
  <c r="J9" i="27" s="1"/>
  <c r="D26" i="33"/>
  <c r="F26" i="33" s="1"/>
  <c r="D6" i="12"/>
  <c r="D30" i="33"/>
  <c r="P30" i="33" s="1"/>
  <c r="H20" i="33"/>
  <c r="D24" i="33"/>
  <c r="F24" i="33" s="1"/>
  <c r="D10" i="12"/>
  <c r="D4" i="12"/>
  <c r="D28" i="33"/>
  <c r="F28" i="33" s="1"/>
  <c r="D68" i="33"/>
  <c r="F20" i="33"/>
  <c r="L20" i="33"/>
  <c r="N20" i="33"/>
  <c r="D19" i="48" l="1"/>
  <c r="D25" i="48"/>
  <c r="N32" i="33"/>
  <c r="F32" i="33"/>
  <c r="P32" i="33"/>
  <c r="H32" i="33"/>
  <c r="L32" i="33"/>
  <c r="D80" i="33"/>
  <c r="H80" i="33" s="1"/>
  <c r="D20" i="12"/>
  <c r="J10" i="27"/>
  <c r="J11" i="27" s="1"/>
  <c r="L21" i="31"/>
  <c r="L20" i="31"/>
  <c r="D18" i="33"/>
  <c r="J18" i="33" s="1"/>
  <c r="D22" i="33"/>
  <c r="D70" i="33" s="1"/>
  <c r="F70" i="33" s="1"/>
  <c r="L24" i="33"/>
  <c r="D52" i="12"/>
  <c r="N26" i="33"/>
  <c r="J28" i="33"/>
  <c r="P28" i="33"/>
  <c r="L28" i="33"/>
  <c r="L26" i="33"/>
  <c r="P26" i="33"/>
  <c r="H26" i="33"/>
  <c r="D74" i="33"/>
  <c r="N74" i="33" s="1"/>
  <c r="D14" i="12"/>
  <c r="D16" i="33"/>
  <c r="F16" i="33" s="1"/>
  <c r="J24" i="33"/>
  <c r="D18" i="12"/>
  <c r="N24" i="33"/>
  <c r="D16" i="12"/>
  <c r="J26" i="33"/>
  <c r="D12" i="12"/>
  <c r="H24" i="33"/>
  <c r="N28" i="33"/>
  <c r="H28" i="33"/>
  <c r="P24" i="33"/>
  <c r="D76" i="33"/>
  <c r="F76" i="33" s="1"/>
  <c r="D72" i="33"/>
  <c r="J72" i="33" s="1"/>
  <c r="N30" i="33"/>
  <c r="H30" i="33"/>
  <c r="F30" i="33"/>
  <c r="D78" i="33"/>
  <c r="J78" i="33" s="1"/>
  <c r="L30" i="33"/>
  <c r="J30" i="33"/>
  <c r="F68" i="33"/>
  <c r="P68" i="33"/>
  <c r="J68" i="33"/>
  <c r="H68" i="33"/>
  <c r="N68" i="33"/>
  <c r="L68" i="33"/>
  <c r="Q20" i="33"/>
  <c r="D13" i="48" l="1"/>
  <c r="K13" i="48" s="1"/>
  <c r="H18" i="33"/>
  <c r="O25" i="48"/>
  <c r="E25" i="48"/>
  <c r="G25" i="48"/>
  <c r="H25" i="48"/>
  <c r="M25" i="48"/>
  <c r="F25" i="48"/>
  <c r="I25" i="48"/>
  <c r="K25" i="48"/>
  <c r="P25" i="48"/>
  <c r="J25" i="48"/>
  <c r="L25" i="48"/>
  <c r="N25" i="48"/>
  <c r="D26" i="48"/>
  <c r="P19" i="48"/>
  <c r="I19" i="48"/>
  <c r="E19" i="48"/>
  <c r="F19" i="48"/>
  <c r="J19" i="48"/>
  <c r="K19" i="48"/>
  <c r="G19" i="48"/>
  <c r="H19" i="48"/>
  <c r="N19" i="48"/>
  <c r="O19" i="48"/>
  <c r="M19" i="48"/>
  <c r="L19" i="48"/>
  <c r="D20" i="48"/>
  <c r="L80" i="33"/>
  <c r="J80" i="33"/>
  <c r="N80" i="33"/>
  <c r="F80" i="33"/>
  <c r="P80" i="33"/>
  <c r="Q32" i="33"/>
  <c r="J22" i="33"/>
  <c r="D66" i="33"/>
  <c r="J66" i="33" s="1"/>
  <c r="L22" i="33"/>
  <c r="N70" i="33"/>
  <c r="L70" i="33"/>
  <c r="H70" i="33"/>
  <c r="F18" i="33"/>
  <c r="F34" i="33" s="1"/>
  <c r="F35" i="33" s="1"/>
  <c r="P70" i="33"/>
  <c r="F22" i="33"/>
  <c r="P18" i="33"/>
  <c r="L18" i="33"/>
  <c r="N18" i="33"/>
  <c r="H22" i="33"/>
  <c r="J70" i="33"/>
  <c r="P22" i="33"/>
  <c r="N22" i="33"/>
  <c r="P72" i="33"/>
  <c r="H74" i="33"/>
  <c r="Q28" i="33"/>
  <c r="Q26" i="33"/>
  <c r="P76" i="33"/>
  <c r="N72" i="33"/>
  <c r="J16" i="33"/>
  <c r="J34" i="33" s="1"/>
  <c r="P16" i="33"/>
  <c r="P74" i="33"/>
  <c r="L74" i="33"/>
  <c r="D64" i="33"/>
  <c r="H64" i="33" s="1"/>
  <c r="D34" i="33"/>
  <c r="C16" i="33" s="1"/>
  <c r="C64" i="33" s="1"/>
  <c r="H16" i="33"/>
  <c r="N16" i="33"/>
  <c r="L16" i="33"/>
  <c r="H76" i="33"/>
  <c r="F74" i="33"/>
  <c r="J76" i="33"/>
  <c r="J74" i="33"/>
  <c r="Q24" i="33"/>
  <c r="N76" i="33"/>
  <c r="Q30" i="33"/>
  <c r="L76" i="33"/>
  <c r="L72" i="33"/>
  <c r="N78" i="33"/>
  <c r="F72" i="33"/>
  <c r="H72" i="33"/>
  <c r="F78" i="33"/>
  <c r="P78" i="33"/>
  <c r="L78" i="33"/>
  <c r="H78" i="33"/>
  <c r="Q68" i="33"/>
  <c r="D14" i="48" l="1"/>
  <c r="L13" i="48"/>
  <c r="I13" i="48"/>
  <c r="N13" i="48"/>
  <c r="O13" i="48"/>
  <c r="P13" i="48"/>
  <c r="H13" i="48"/>
  <c r="M13" i="48"/>
  <c r="J13" i="48"/>
  <c r="F13" i="48"/>
  <c r="E13" i="48"/>
  <c r="G13" i="48"/>
  <c r="P34" i="33"/>
  <c r="H34" i="33"/>
  <c r="H35" i="33" s="1"/>
  <c r="J35" i="33" s="1"/>
  <c r="Q80" i="33"/>
  <c r="D15" i="48"/>
  <c r="H66" i="33"/>
  <c r="H82" i="33" s="1"/>
  <c r="L66" i="33"/>
  <c r="Q22" i="33"/>
  <c r="Q70" i="33" s="1"/>
  <c r="N66" i="33"/>
  <c r="F66" i="33"/>
  <c r="Q18" i="33"/>
  <c r="L34" i="33"/>
  <c r="P66" i="33"/>
  <c r="N34" i="33"/>
  <c r="D35" i="33"/>
  <c r="C22" i="33" s="1"/>
  <c r="C70" i="33" s="1"/>
  <c r="L64" i="33"/>
  <c r="Q74" i="33"/>
  <c r="P64" i="33"/>
  <c r="F64" i="33"/>
  <c r="J64" i="33"/>
  <c r="J82" i="33" s="1"/>
  <c r="Q76" i="33"/>
  <c r="C24" i="33"/>
  <c r="C72" i="33" s="1"/>
  <c r="D82" i="33"/>
  <c r="D83" i="33" s="1"/>
  <c r="N64" i="33"/>
  <c r="Q72" i="33"/>
  <c r="C28" i="33"/>
  <c r="C76" i="33" s="1"/>
  <c r="C30" i="33"/>
  <c r="C78" i="33" s="1"/>
  <c r="C26" i="33"/>
  <c r="C74" i="33" s="1"/>
  <c r="C32" i="33"/>
  <c r="C80" i="33" s="1"/>
  <c r="C20" i="33"/>
  <c r="C68" i="33" s="1"/>
  <c r="Q16" i="33"/>
  <c r="Q78" i="33"/>
  <c r="F82" i="33" l="1"/>
  <c r="F15" i="48"/>
  <c r="O15" i="48"/>
  <c r="E15" i="48"/>
  <c r="K15" i="48"/>
  <c r="P15" i="48"/>
  <c r="J15" i="48"/>
  <c r="G15" i="48"/>
  <c r="I15" i="48"/>
  <c r="M15" i="48"/>
  <c r="N15" i="48"/>
  <c r="H15" i="48"/>
  <c r="L15" i="48"/>
  <c r="D16" i="48"/>
  <c r="L82" i="33"/>
  <c r="K82" i="33" s="1"/>
  <c r="N82" i="33"/>
  <c r="M82" i="33" s="1"/>
  <c r="Q66" i="33"/>
  <c r="Q34" i="33"/>
  <c r="Q35" i="33" s="1"/>
  <c r="P82" i="33"/>
  <c r="O82" i="33" s="1"/>
  <c r="E35" i="33"/>
  <c r="G34" i="33"/>
  <c r="C18" i="33"/>
  <c r="C66" i="33" s="1"/>
  <c r="M34" i="33"/>
  <c r="K34" i="33"/>
  <c r="G35" i="33"/>
  <c r="E34" i="33"/>
  <c r="I34" i="33"/>
  <c r="O34" i="33"/>
  <c r="E82" i="33"/>
  <c r="G82" i="33"/>
  <c r="Q64" i="33"/>
  <c r="I82" i="33"/>
  <c r="I35" i="33"/>
  <c r="L35" i="33"/>
  <c r="F83" i="33" l="1"/>
  <c r="E83" i="33" s="1"/>
  <c r="D9" i="48"/>
  <c r="Q82" i="33"/>
  <c r="Q83" i="33" s="1"/>
  <c r="K35" i="33"/>
  <c r="N35" i="33"/>
  <c r="O9" i="48" l="1"/>
  <c r="M9" i="48"/>
  <c r="H9" i="48"/>
  <c r="L9" i="48"/>
  <c r="K9" i="48"/>
  <c r="J9" i="48"/>
  <c r="I9" i="48"/>
  <c r="G9" i="48"/>
  <c r="N9" i="48"/>
  <c r="F9" i="48"/>
  <c r="H83" i="33"/>
  <c r="G83" i="33" s="1"/>
  <c r="P9" i="48"/>
  <c r="E9" i="48"/>
  <c r="D10" i="48"/>
  <c r="M35" i="33"/>
  <c r="P35" i="33"/>
  <c r="O35" i="33" s="1"/>
  <c r="J83" i="33" l="1"/>
  <c r="L83" i="33" s="1"/>
  <c r="K83" i="33" s="1"/>
  <c r="D21" i="48"/>
  <c r="D29" i="48"/>
  <c r="D27" i="48"/>
  <c r="D17" i="48"/>
  <c r="I83" i="33" l="1"/>
  <c r="N83" i="33"/>
  <c r="P83" i="33" s="1"/>
  <c r="O83" i="33" s="1"/>
  <c r="O21" i="48"/>
  <c r="G21" i="48"/>
  <c r="M21" i="48"/>
  <c r="F21" i="48"/>
  <c r="K21" i="48"/>
  <c r="E21" i="48"/>
  <c r="J21" i="48"/>
  <c r="P21" i="48"/>
  <c r="I21" i="48"/>
  <c r="H21" i="48"/>
  <c r="N21" i="48"/>
  <c r="L21" i="48"/>
  <c r="D22" i="48"/>
  <c r="P17" i="48"/>
  <c r="O17" i="48"/>
  <c r="J17" i="48"/>
  <c r="E17" i="48"/>
  <c r="K17" i="48"/>
  <c r="M17" i="48"/>
  <c r="I17" i="48"/>
  <c r="H17" i="48"/>
  <c r="N17" i="48"/>
  <c r="L17" i="48"/>
  <c r="F17" i="48"/>
  <c r="G17" i="48"/>
  <c r="D18" i="48"/>
  <c r="G29" i="48"/>
  <c r="O29" i="48"/>
  <c r="F29" i="48"/>
  <c r="N29" i="48"/>
  <c r="J29" i="48"/>
  <c r="K29" i="48"/>
  <c r="L29" i="48"/>
  <c r="E29" i="48"/>
  <c r="P29" i="48"/>
  <c r="I29" i="48"/>
  <c r="M29" i="48"/>
  <c r="H29" i="48"/>
  <c r="D30" i="48"/>
  <c r="P27" i="48"/>
  <c r="N27" i="48"/>
  <c r="I27" i="48"/>
  <c r="G27" i="48"/>
  <c r="J27" i="48"/>
  <c r="K27" i="48"/>
  <c r="E27" i="48"/>
  <c r="O27" i="48"/>
  <c r="H27" i="48"/>
  <c r="M27" i="48"/>
  <c r="F27" i="48"/>
  <c r="L27" i="48"/>
  <c r="D28" i="48"/>
  <c r="M83" i="33" l="1"/>
  <c r="D11" i="48"/>
  <c r="C41" i="49"/>
  <c r="C44" i="49" s="1"/>
  <c r="P11" i="48" l="1"/>
  <c r="E11" i="48"/>
  <c r="F11" i="48"/>
  <c r="J11" i="48"/>
  <c r="K11" i="48"/>
  <c r="N11" i="48"/>
  <c r="O11" i="48"/>
  <c r="G11" i="48"/>
  <c r="H11" i="48"/>
  <c r="I11" i="48"/>
  <c r="M11" i="48"/>
  <c r="L11" i="48"/>
  <c r="D12" i="48"/>
  <c r="D23" i="48" l="1"/>
  <c r="E23" i="48" l="1"/>
  <c r="E31" i="48" s="1"/>
  <c r="E33" i="48" s="1"/>
  <c r="F23" i="48"/>
  <c r="F31" i="48" s="1"/>
  <c r="O23" i="48"/>
  <c r="O31" i="48" s="1"/>
  <c r="L23" i="48"/>
  <c r="L31" i="48" s="1"/>
  <c r="K23" i="48"/>
  <c r="K31" i="48" s="1"/>
  <c r="I23" i="48"/>
  <c r="I31" i="48" s="1"/>
  <c r="G23" i="48"/>
  <c r="G31" i="48" s="1"/>
  <c r="H23" i="48"/>
  <c r="H31" i="48" s="1"/>
  <c r="N23" i="48"/>
  <c r="N31" i="48" s="1"/>
  <c r="J23" i="48"/>
  <c r="J31" i="48" s="1"/>
  <c r="M23" i="48"/>
  <c r="M31" i="48" s="1"/>
  <c r="D24" i="48"/>
  <c r="D32" i="48" s="1"/>
  <c r="D34" i="48" s="1"/>
  <c r="P23" i="48"/>
  <c r="P31" i="48" s="1"/>
  <c r="D31" i="48"/>
  <c r="D33" i="48" s="1"/>
  <c r="F33" i="48" l="1"/>
  <c r="G33" i="48" s="1"/>
  <c r="H33" i="48" s="1"/>
  <c r="I33" i="48" s="1"/>
  <c r="J33" i="48" s="1"/>
  <c r="K33" i="48" s="1"/>
  <c r="L33" i="48" s="1"/>
  <c r="M33" i="48" s="1"/>
  <c r="N33" i="48" s="1"/>
  <c r="O33" i="48" s="1"/>
  <c r="P33" i="48" s="1"/>
</calcChain>
</file>

<file path=xl/sharedStrings.xml><?xml version="1.0" encoding="utf-8"?>
<sst xmlns="http://schemas.openxmlformats.org/spreadsheetml/2006/main" count="2253" uniqueCount="1067">
  <si>
    <t>ITEM</t>
  </si>
  <si>
    <t>CÓDIGO</t>
  </si>
  <si>
    <t>DISCRIMINAÇÃO</t>
  </si>
  <si>
    <t>UNID.</t>
  </si>
  <si>
    <t>QUANT.</t>
  </si>
  <si>
    <t>1.0</t>
  </si>
  <si>
    <t>1.1</t>
  </si>
  <si>
    <t>2.0</t>
  </si>
  <si>
    <t>SERVIÇOS PRELIMINARES</t>
  </si>
  <si>
    <t>2.1</t>
  </si>
  <si>
    <t>m</t>
  </si>
  <si>
    <t>3.0</t>
  </si>
  <si>
    <t>3.1</t>
  </si>
  <si>
    <t>3.2</t>
  </si>
  <si>
    <t>4.0</t>
  </si>
  <si>
    <t>PAVIMENTAÇÃO</t>
  </si>
  <si>
    <t>TOTAL GERAL</t>
  </si>
  <si>
    <t>PREÇO
 TOTAL</t>
  </si>
  <si>
    <t>1.2</t>
  </si>
  <si>
    <t>RESUMO DO ORÇAMENTO</t>
  </si>
  <si>
    <t>TOTAL</t>
  </si>
  <si>
    <t>TERRAPLENAGEM</t>
  </si>
  <si>
    <t>3.3</t>
  </si>
  <si>
    <t>3.4</t>
  </si>
  <si>
    <t>5.1</t>
  </si>
  <si>
    <t>5.2</t>
  </si>
  <si>
    <t>3.6</t>
  </si>
  <si>
    <t>3.7</t>
  </si>
  <si>
    <t>5.0</t>
  </si>
  <si>
    <t>5.3</t>
  </si>
  <si>
    <t>5.4</t>
  </si>
  <si>
    <t>6.0</t>
  </si>
  <si>
    <t>DMT</t>
  </si>
  <si>
    <t>1.3</t>
  </si>
  <si>
    <t>1.4</t>
  </si>
  <si>
    <t>1.5</t>
  </si>
  <si>
    <t>Imprimação</t>
  </si>
  <si>
    <t>t</t>
  </si>
  <si>
    <t>7.0</t>
  </si>
  <si>
    <t>Instalação de Canteiro e Acampamento</t>
  </si>
  <si>
    <t>Mobilização e Desmobilização de Pessoal</t>
  </si>
  <si>
    <t>Mobilização e Desmobilização de Equipamento Pesado</t>
  </si>
  <si>
    <t>Placa de Obra</t>
  </si>
  <si>
    <t>Vb</t>
  </si>
  <si>
    <t>mês</t>
  </si>
  <si>
    <t>Compactação de aterros a 100% Proctor normal</t>
  </si>
  <si>
    <t>Regulariação do subleito</t>
  </si>
  <si>
    <t>Fornecimento de Asfalto Diluido CM - 30</t>
  </si>
  <si>
    <t>Transporte de Asfalto Diluido CM - 30</t>
  </si>
  <si>
    <t>t.km</t>
  </si>
  <si>
    <t>und</t>
  </si>
  <si>
    <t>5.5</t>
  </si>
  <si>
    <t>6.1</t>
  </si>
  <si>
    <t>6.4</t>
  </si>
  <si>
    <t xml:space="preserve"> SERVIÇOS PRELIMINARES</t>
  </si>
  <si>
    <t xml:space="preserve"> TERRAPLENAGEM</t>
  </si>
  <si>
    <t xml:space="preserve"> PAVIMENTAÇÃO</t>
  </si>
  <si>
    <t xml:space="preserve"> TRANSPORTE DE PAVIMENTAÇÃO</t>
  </si>
  <si>
    <t xml:space="preserve"> DRENAGEM</t>
  </si>
  <si>
    <t xml:space="preserve"> SINALIZAÇÃO</t>
  </si>
  <si>
    <t>8.0</t>
  </si>
  <si>
    <t>7.2</t>
  </si>
  <si>
    <t>SINALIZAÇÃO</t>
  </si>
  <si>
    <t xml:space="preserve"> TRANSPORTE DE DRENAGEM</t>
  </si>
  <si>
    <t>tkm</t>
  </si>
  <si>
    <t>m³</t>
  </si>
  <si>
    <t>2 S 04 001 00</t>
  </si>
  <si>
    <t>Escavação mecânica para bueiro em mat. de 1ª cat.</t>
  </si>
  <si>
    <t>7.3</t>
  </si>
  <si>
    <t>6.5</t>
  </si>
  <si>
    <t>4 S 06 100 21</t>
  </si>
  <si>
    <t>4 S 06 200 02</t>
  </si>
  <si>
    <t>4 S 06 121 01</t>
  </si>
  <si>
    <t>m²</t>
  </si>
  <si>
    <t>2 S 01 100 01</t>
  </si>
  <si>
    <t>Esc. carga transp. mat. 1ª cat. DMT 50m a 200m</t>
  </si>
  <si>
    <t>2 S 01 511 00</t>
  </si>
  <si>
    <t>2 S 02 110 00</t>
  </si>
  <si>
    <t>2 S 02 200 00</t>
  </si>
  <si>
    <t>2 S 02 200 01</t>
  </si>
  <si>
    <t>2 S 02 300 00</t>
  </si>
  <si>
    <t>2 S 02 501 51</t>
  </si>
  <si>
    <t>2 S 02 999 03</t>
  </si>
  <si>
    <t>2 S 02 999 05</t>
  </si>
  <si>
    <t>2 S 09 001 05</t>
  </si>
  <si>
    <t>2 S 09 009 03</t>
  </si>
  <si>
    <t>2 S 09 009 05</t>
  </si>
  <si>
    <t>RODOVIA:</t>
  </si>
  <si>
    <t xml:space="preserve">TRECHO: </t>
  </si>
  <si>
    <t>SUB-TRECHO:</t>
  </si>
  <si>
    <t>SEGMENTO:</t>
  </si>
  <si>
    <t>EXTENSÃO:</t>
  </si>
  <si>
    <t>Tratamento Superficial Duplo c/ emulsão - BC</t>
  </si>
  <si>
    <t>Sub-base de solo estabilizada granul. s/ mistura</t>
  </si>
  <si>
    <t>Base de solo estabilizada granul. s/ mistura</t>
  </si>
  <si>
    <t>Fornecimento e implantação de placa de sinal. totalmente refletiva</t>
  </si>
  <si>
    <t>6.2</t>
  </si>
  <si>
    <t xml:space="preserve">DRENAGEM </t>
  </si>
  <si>
    <t>MT-220</t>
  </si>
  <si>
    <t>AGRITOP</t>
  </si>
  <si>
    <t>TRECHO:</t>
  </si>
  <si>
    <t>PLANILHA PARA CÁLCULO DE DESMATAMENTO, DEST. LIMPEZA DE ÁREA</t>
  </si>
  <si>
    <t>ESTACAS</t>
  </si>
  <si>
    <t>EXTENSÃO</t>
  </si>
  <si>
    <t>LARGURA</t>
  </si>
  <si>
    <t>ÁREA</t>
  </si>
  <si>
    <t>OBSERVAÇÃO</t>
  </si>
  <si>
    <t>INICIAL</t>
  </si>
  <si>
    <t>FRAC.</t>
  </si>
  <si>
    <t>FINAL</t>
  </si>
  <si>
    <t>(m)</t>
  </si>
  <si>
    <t>(m²)</t>
  </si>
  <si>
    <t>+</t>
  </si>
  <si>
    <t>2 S 09 002 91</t>
  </si>
  <si>
    <t>2 S 09 001 91</t>
  </si>
  <si>
    <t>2 S 09 002 90</t>
  </si>
  <si>
    <t>2 S 09 001 90</t>
  </si>
  <si>
    <t>PLANILHA PARA CÁLCULO CAMINHO DE SERVIÇO</t>
  </si>
  <si>
    <t>ESPESSURA</t>
  </si>
  <si>
    <t>VOLUME</t>
  </si>
  <si>
    <t>MOMENTO</t>
  </si>
  <si>
    <t>(Ha²)</t>
  </si>
  <si>
    <t>(m³)</t>
  </si>
  <si>
    <t>Km</t>
  </si>
  <si>
    <t>(TKm)</t>
  </si>
  <si>
    <t>6.7</t>
  </si>
  <si>
    <t>6.8</t>
  </si>
  <si>
    <t>Transporte comercial c/ basc. 10m³ rod. não pav. (brita)</t>
  </si>
  <si>
    <t>Transporte comercial c/ basc. 10m³ rod. pav. (brita)</t>
  </si>
  <si>
    <t>Transporte comercial c/ basc. 10m³ rod. não pav. (areia)</t>
  </si>
  <si>
    <t>Transporte comercial c/ basc. 10m³ rod.  pav. (areia)</t>
  </si>
  <si>
    <t>Transporte comercial c/ carr. rod. não pav. (cimento)</t>
  </si>
  <si>
    <t>Transporte comercial c/ carr. rod. pav. (cimento)</t>
  </si>
  <si>
    <t>2 S 01 005 00</t>
  </si>
  <si>
    <t>Reconformação de área de empréstimo</t>
  </si>
  <si>
    <t>MT-338</t>
  </si>
  <si>
    <t>2 S 00 000 10</t>
  </si>
  <si>
    <t>2 S 00 000 20</t>
  </si>
  <si>
    <t>2 S 00 000 22</t>
  </si>
  <si>
    <t>2 S 00 000 24</t>
  </si>
  <si>
    <t>Transporte comercial c/ carr. rod. não pav. (madeira)</t>
  </si>
  <si>
    <t>Transporte comercial c/ carr. rod. pav. (madeira)</t>
  </si>
  <si>
    <t>6.10</t>
  </si>
  <si>
    <t>6.11</t>
  </si>
  <si>
    <t>6.13</t>
  </si>
  <si>
    <t>6.14</t>
  </si>
  <si>
    <t>Transporte comercial c/ basc. 10 m³ rod. não pav. (Brita-TSD)</t>
  </si>
  <si>
    <t>Compactação de aterros a 100% Proctor intermediário</t>
  </si>
  <si>
    <t>2 S 01 000 00</t>
  </si>
  <si>
    <t>Desmatam. destocam. e  limpeza de áreas  c/ árvores c/ diâmetro até 0,15 m</t>
  </si>
  <si>
    <t>TERRAPLENAGEM (CAMINHO DE SERVIÇO)</t>
  </si>
  <si>
    <t>3 S 01 200 01</t>
  </si>
  <si>
    <t>Escav. carga  mat. jazida (inclusive indenizaçaõ de jazida) - rod. não pav.</t>
  </si>
  <si>
    <t>Desmatamento, destocamento e limpeza em mata</t>
  </si>
  <si>
    <t>3 S 08 001 01</t>
  </si>
  <si>
    <t>Patrolamento</t>
  </si>
  <si>
    <t>há</t>
  </si>
  <si>
    <t>3 S 08 002 01</t>
  </si>
  <si>
    <t>Conformação de pista para revestimento primário</t>
  </si>
  <si>
    <t>3 S 08 003 01</t>
  </si>
  <si>
    <t>Espalhamento de material para revestimento primário</t>
  </si>
  <si>
    <t>3 S  09 001 06</t>
  </si>
  <si>
    <t>Transporte local em rodovia não pavimentada</t>
  </si>
  <si>
    <t>TRANSPORTE DE PAVIMENTAÇÃO</t>
  </si>
  <si>
    <t>TRANSPORTE DE DRENAGEM</t>
  </si>
  <si>
    <t>RECUPERAÇÃO AMBIENTAL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</si>
  <si>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</si>
  <si>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</si>
  <si>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</si>
  <si>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</si>
  <si>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</si>
  <si>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</si>
  <si>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</si>
  <si>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</si>
  <si>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</si>
  <si>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</si>
  <si>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</si>
  <si>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</si>
  <si>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</si>
  <si>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</si>
  <si>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4.2</t>
  </si>
  <si>
    <t>4.5</t>
  </si>
  <si>
    <t>4.7</t>
  </si>
  <si>
    <t>4.9</t>
  </si>
  <si>
    <t>2 S 01 512 00</t>
  </si>
  <si>
    <t>Mobilização e Desmobilização de Equipamento Rodante</t>
  </si>
  <si>
    <t>2 S 00 001 03</t>
  </si>
  <si>
    <t>1.6</t>
  </si>
  <si>
    <t>2 S  09 002 91</t>
  </si>
  <si>
    <t>Transporte comercial c/ basc. 10 m³ rod. pav. (pedra-de-mão)</t>
  </si>
  <si>
    <t>2 S  09 001 91</t>
  </si>
  <si>
    <t>Transporte comercial c/ basc. 10 m³ rod. não pav. (pedra-de-mão)</t>
  </si>
  <si>
    <t>7.5</t>
  </si>
  <si>
    <t>8.1</t>
  </si>
  <si>
    <t>8.2</t>
  </si>
  <si>
    <t>Km 38 - Rio Juruena - Campos de Julio - Entrº BR364 - Alcomat</t>
  </si>
  <si>
    <t xml:space="preserve">SUB-TRECHO: </t>
  </si>
  <si>
    <t>Entrº BR 364 - Fazenda Formiga - Alcomat</t>
  </si>
  <si>
    <t>Estaca 14+11,46 - Estaca 2.300+0,00</t>
  </si>
  <si>
    <t>45,70854 Km</t>
  </si>
  <si>
    <t>Fornecimento de Emulsão Asfáltica RR - 2C p/ TSD</t>
  </si>
  <si>
    <t>Transporte de emulsão asfáltica RR-2C - TSD</t>
  </si>
  <si>
    <t>2 S 04 000 00</t>
  </si>
  <si>
    <t>Escavação manual em vala com material de 1ª cat.</t>
  </si>
  <si>
    <t>2 S 03 940 01</t>
  </si>
  <si>
    <t>Reaterro e Compactaçào</t>
  </si>
  <si>
    <t>2 S 04 100 03</t>
  </si>
  <si>
    <t>2 S 04 101 03</t>
  </si>
  <si>
    <t>Corpo BSTC D=1,00m</t>
  </si>
  <si>
    <t>Boca de BSTC D=1,00m Normal</t>
  </si>
  <si>
    <t>Pintura de faixa - tinta durabilidade - 2 anos</t>
  </si>
  <si>
    <t>Fornecimento e colocação de tacha reflet. Bidirecional</t>
  </si>
  <si>
    <t>3 S 01 930 00</t>
  </si>
  <si>
    <t>8.3</t>
  </si>
  <si>
    <t>3.9</t>
  </si>
  <si>
    <t>2.17</t>
  </si>
  <si>
    <t>2.18</t>
  </si>
  <si>
    <t>2.19</t>
  </si>
  <si>
    <t>2.20</t>
  </si>
  <si>
    <t>2.21</t>
  </si>
  <si>
    <t>2.22</t>
  </si>
  <si>
    <t>MT-388</t>
  </si>
  <si>
    <t>45,71 Km</t>
  </si>
  <si>
    <t>Transporte local c/ basc. rod. não pav. ( Base e Sub-Base) (52,00km)</t>
  </si>
  <si>
    <t>Marco de Identificaçao da obra</t>
  </si>
  <si>
    <t>2.23</t>
  </si>
  <si>
    <t>3 S 09 201 70</t>
  </si>
  <si>
    <t>Transp. Local  agua c/ caminhao tanque em rod. Não pav.</t>
  </si>
  <si>
    <t>8.4</t>
  </si>
  <si>
    <t>8.5</t>
  </si>
  <si>
    <t>Regularizaçao mecanica da faixa de dominio (c/ trator de esteira)</t>
  </si>
  <si>
    <t>2 S 02 102 00</t>
  </si>
  <si>
    <t>Hidrossemeadura em area de emprestimo</t>
  </si>
  <si>
    <t>Reconformação de área de jazida</t>
  </si>
  <si>
    <t>Hidrossemeadura em area de jazida</t>
  </si>
  <si>
    <t>2 S 01 100 22</t>
  </si>
  <si>
    <t>2 S 01 100 23</t>
  </si>
  <si>
    <t>2 S 01 100 24</t>
  </si>
  <si>
    <t>2 S 01 100 25</t>
  </si>
  <si>
    <t>2 S 01 100 26</t>
  </si>
  <si>
    <t>2 S 01 100 27</t>
  </si>
  <si>
    <t>2 S 01 100 28</t>
  </si>
  <si>
    <t>2 S 01 100 29</t>
  </si>
  <si>
    <t>2 S 01 100 30</t>
  </si>
  <si>
    <t>2 S 01 100 31</t>
  </si>
  <si>
    <t>2 S 01 100 32</t>
  </si>
  <si>
    <t>2 S 01 100 33</t>
  </si>
  <si>
    <t>Esc. carga transp. mat. 1ª cat. DMT 200m a 400m c/e</t>
  </si>
  <si>
    <t>Esc. carga transp. mat. 1ª cat. DMT 400m a 600m c/e</t>
  </si>
  <si>
    <t>Esc. carga transp. mat. 1ª cat. DMT 600m a 800m c/e</t>
  </si>
  <si>
    <t>Esc. carga transp. mat. 1ª cat. DMT 800m a 1000m c/e</t>
  </si>
  <si>
    <t>Esc. carga transp. mat. 1ª cat. DMT 1000m a 1200m c/e</t>
  </si>
  <si>
    <t>Esc. carga transp. mat. 1ª cat. DMT 1200m a 1400m c/e</t>
  </si>
  <si>
    <t>Esc. carga transp. mat. 1ª cat. DMT 1400m a 1600m c/e</t>
  </si>
  <si>
    <t>Esc. carga transp. mat. 1ª cat. DMT 1600m a 1800m c/e</t>
  </si>
  <si>
    <t>Esc. carga transp. mat. 1ª cat. DMT 1800m a 2000m c/e</t>
  </si>
  <si>
    <t>Esc. carga transp. mat. 1ª cat. DMT 2000m a 3000m c/e</t>
  </si>
  <si>
    <t>Esc. carga transp. mat. 1ª cat. DMT 3000m a 5000m c/e</t>
  </si>
  <si>
    <t>2 S 00 000 10 - Instalaçao de Canteiro e Acampamento</t>
  </si>
  <si>
    <t>Prod. Equipe: 1 Vb</t>
  </si>
  <si>
    <t>Código</t>
  </si>
  <si>
    <t>Discriminação</t>
  </si>
  <si>
    <t>Und</t>
  </si>
  <si>
    <t>Quant.</t>
  </si>
  <si>
    <t>Preço Unitário (R$)</t>
  </si>
  <si>
    <t>Custo Unitário (R$)</t>
  </si>
  <si>
    <t>1 A 00 000 10</t>
  </si>
  <si>
    <t>Instalação de Canteiro da Obra</t>
  </si>
  <si>
    <t>1 A 00 000 20</t>
  </si>
  <si>
    <t>Instalação de Acampamento da Obra</t>
  </si>
  <si>
    <t>PREÇO UNITÁRIO TOTAL</t>
  </si>
  <si>
    <t>B.D.I. - BONIFICAÇÃO E DESPESAS INDIRETAS (26,70%)</t>
  </si>
  <si>
    <t>PREÇO UNITÁRIO TOTAL (Custo Direto + B.D.I)</t>
  </si>
  <si>
    <t>1 A 00 000 10 - Instalaçao de Canteiro da Obra</t>
  </si>
  <si>
    <t>1 A 00 000 01</t>
  </si>
  <si>
    <t>Unidades de Armazenamento                                                                                                                         C - Material</t>
  </si>
  <si>
    <t>CA - 10</t>
  </si>
  <si>
    <t>Almoxarifado</t>
  </si>
  <si>
    <r>
      <t>m</t>
    </r>
    <r>
      <rPr>
        <sz val="8"/>
        <rFont val="Calibri"/>
        <family val="2"/>
      </rPr>
      <t>²</t>
    </r>
  </si>
  <si>
    <t>CA - 11</t>
  </si>
  <si>
    <t>Posto de Comb. E Lub.</t>
  </si>
  <si>
    <t>CA - 99</t>
  </si>
  <si>
    <t>Mobiliario e/ou Aparelhagem (% Sobre o custo dos materiais)</t>
  </si>
  <si>
    <t>%</t>
  </si>
  <si>
    <t>1 A 00 000 02</t>
  </si>
  <si>
    <t>Unidades Administrativas e Técnicas                                                                                                                         C - Material</t>
  </si>
  <si>
    <t>CA - 20</t>
  </si>
  <si>
    <t>Escritório e Anexos</t>
  </si>
  <si>
    <t>CA - 22</t>
  </si>
  <si>
    <t>Laboratórios</t>
  </si>
  <si>
    <t>1 A 00 000 03</t>
  </si>
  <si>
    <t>Unidades de Apoio                                                                                                                         C - Material</t>
  </si>
  <si>
    <t>CA - 31</t>
  </si>
  <si>
    <t>Refeitório Central e Cozinha</t>
  </si>
  <si>
    <t>CA - 33</t>
  </si>
  <si>
    <t>Oficina Mecânica</t>
  </si>
  <si>
    <t>Borracharia</t>
  </si>
  <si>
    <t>1 A 00 000 04</t>
  </si>
  <si>
    <t>Sistemas e Cercas/Tapumes                                                                                                                         C - Material</t>
  </si>
  <si>
    <t>CA - 41</t>
  </si>
  <si>
    <t>Abastecimento d´água - captação, tratamento e distribuição</t>
  </si>
  <si>
    <t>-</t>
  </si>
  <si>
    <t>CA - 42</t>
  </si>
  <si>
    <t>Estação, coleta, tratamento e despejo de esgoto</t>
  </si>
  <si>
    <t>CA - 43</t>
  </si>
  <si>
    <t>Drenagem</t>
  </si>
  <si>
    <t>CA - 44</t>
  </si>
  <si>
    <t>Distribuição de Energia, Iluminação e Sub-Estação</t>
  </si>
  <si>
    <t>CA - 45</t>
  </si>
  <si>
    <t>Sistema Viário</t>
  </si>
  <si>
    <t>Cerca de Arame Farpado</t>
  </si>
  <si>
    <t>1 A 00 000 05</t>
  </si>
  <si>
    <t>Instalações Industriais                                                                                                                         B - Material</t>
  </si>
  <si>
    <t>CA - 51</t>
  </si>
  <si>
    <t>Central de Britagem</t>
  </si>
  <si>
    <t>CA - 54</t>
  </si>
  <si>
    <t>Central de Concreto</t>
  </si>
  <si>
    <t>CA - 55</t>
  </si>
  <si>
    <t>Central de Carpintaria</t>
  </si>
  <si>
    <t>CA - 56</t>
  </si>
  <si>
    <t>Central de Armação</t>
  </si>
  <si>
    <t>CA - 57</t>
  </si>
  <si>
    <t>Pátio de Pré-moldados</t>
  </si>
  <si>
    <t>CA - 58</t>
  </si>
  <si>
    <t>Pátio de Estruturas Tubulares</t>
  </si>
  <si>
    <t>CUSTO UNITARIO DIRETO TOTAL&gt;&gt;&gt;&gt;</t>
  </si>
  <si>
    <t>B.D.I. - BONIFICAÇÃO E DESPESAS INDIRETAS (0,00%)</t>
  </si>
  <si>
    <t>1 A 00 000 20 - Instalaçao de Acampamento da Obra</t>
  </si>
  <si>
    <t>C - Material</t>
  </si>
  <si>
    <t>CA - 81</t>
  </si>
  <si>
    <t>Habitações Unifamiliares</t>
  </si>
  <si>
    <t>CA - 82</t>
  </si>
  <si>
    <t>Alojamento</t>
  </si>
  <si>
    <t>CA - 83</t>
  </si>
  <si>
    <t>Escolas / Salas de Aula</t>
  </si>
  <si>
    <t>CA - 84</t>
  </si>
  <si>
    <t>Centro Recreativo e Esportivo</t>
  </si>
  <si>
    <t>CA - 85</t>
  </si>
  <si>
    <t>Centro Comunitário</t>
  </si>
  <si>
    <t>CA - 86</t>
  </si>
  <si>
    <t>Ambulatório</t>
  </si>
  <si>
    <t>CA - 87</t>
  </si>
  <si>
    <t>Guarita principal</t>
  </si>
  <si>
    <t xml:space="preserve">2 S 00 000 20 - Mobilização e Desmobilização de Pessoal                                                                                                         </t>
  </si>
  <si>
    <t>Unidade</t>
  </si>
  <si>
    <t>Quant./                   (Homens)</t>
  </si>
  <si>
    <t>Viagens                 (ida/Volta)</t>
  </si>
  <si>
    <t>DMT                           (km)</t>
  </si>
  <si>
    <t xml:space="preserve">  Preço                   (R$)</t>
  </si>
  <si>
    <t>Custo/                                                                 Unitário       (R$)</t>
  </si>
  <si>
    <t>T010</t>
  </si>
  <si>
    <t>Engenhiero Senior - mais de 15 anos de experiência</t>
  </si>
  <si>
    <t>Und/Vb</t>
  </si>
  <si>
    <t>T020</t>
  </si>
  <si>
    <t>Engenhiero Senior - até 5 anos de experiência</t>
  </si>
  <si>
    <t>T500</t>
  </si>
  <si>
    <t>Encarregado geral</t>
  </si>
  <si>
    <t>s/c</t>
  </si>
  <si>
    <t>Encarregado de Terraplenagem</t>
  </si>
  <si>
    <t>Encarregado de Pavimentação</t>
  </si>
  <si>
    <t>Encarregado de OAC/Drenagem</t>
  </si>
  <si>
    <t>Encarregado de Aumoxerifado</t>
  </si>
  <si>
    <t xml:space="preserve">Encarregado de Manutenção </t>
  </si>
  <si>
    <t>T403</t>
  </si>
  <si>
    <t>Chefe de Escritório (adm)</t>
  </si>
  <si>
    <t>T220</t>
  </si>
  <si>
    <t xml:space="preserve">Técnico de Segurança do Trabalho </t>
  </si>
  <si>
    <t>T230</t>
  </si>
  <si>
    <t>Topógrafo</t>
  </si>
  <si>
    <t>T240</t>
  </si>
  <si>
    <t>Laboratorista</t>
  </si>
  <si>
    <t>T313</t>
  </si>
  <si>
    <t>T635</t>
  </si>
  <si>
    <t>Eletricista de máquinas</t>
  </si>
  <si>
    <t>T708</t>
  </si>
  <si>
    <t>Auxiliar de topografia e /ou laboratório</t>
  </si>
  <si>
    <t>PREÇO UNITÁRIO DE MOBILIZAÇÃO (Custo Direto + B.D.I)</t>
  </si>
  <si>
    <t>PREÇO UNITÁRIO DE DESMOBILIZAÇÃO (Custo Direto + B.D.I)</t>
  </si>
  <si>
    <t>*Obs: Preço passagem: R$ 90,00 (Cuiabá - Sorriso) + 42,00 = R$ 132,00</t>
  </si>
  <si>
    <t>2 S 00 000 22 - Mobilização e Desmobilização de Equipamento Rodante</t>
  </si>
  <si>
    <t>Quant.                      (Veículos)</t>
  </si>
  <si>
    <t>Consumo    ( l / Km )</t>
  </si>
  <si>
    <t>Tipo Combust.</t>
  </si>
  <si>
    <t>Dist.                (ida/Volta)</t>
  </si>
  <si>
    <t>Consumo percurso (l)</t>
  </si>
  <si>
    <t>Custo Comb. (R$)</t>
  </si>
  <si>
    <t>Custo Parcial (R$)</t>
  </si>
  <si>
    <t>Caminhão Carroceria</t>
  </si>
  <si>
    <t>L/Vb</t>
  </si>
  <si>
    <t>Diesel</t>
  </si>
  <si>
    <t>Veículo Gol</t>
  </si>
  <si>
    <t>Alcool</t>
  </si>
  <si>
    <t>Veiculo Leve Pick-Up</t>
  </si>
  <si>
    <t>Caminhão Tanque 6000L</t>
  </si>
  <si>
    <t>Caminhão Basculante MB LK 1620</t>
  </si>
  <si>
    <t>Caminhão Basculante MB LK 2423</t>
  </si>
  <si>
    <t>Caminhão Carroceria (carga seca)</t>
  </si>
  <si>
    <t>Camihão Tanque 10000L</t>
  </si>
  <si>
    <t>Caminhão Comboio</t>
  </si>
  <si>
    <t>2 S 00 000 24 - Mobilização e Desmobilização de Equipamento Pesado</t>
  </si>
  <si>
    <t>(1)</t>
  </si>
  <si>
    <t>(2)</t>
  </si>
  <si>
    <t>(3)</t>
  </si>
  <si>
    <t>(4)</t>
  </si>
  <si>
    <t>Custo Unit. (R$) (1x2x3x4)</t>
  </si>
  <si>
    <t>Peso equip.      (t)</t>
  </si>
  <si>
    <t xml:space="preserve">Dist.       (Ida/Volta)                           </t>
  </si>
  <si>
    <t>Custo do momento de transp.</t>
  </si>
  <si>
    <t>E002</t>
  </si>
  <si>
    <t>Trator de Esteiras, Caterpillar D6M - com lâmina</t>
  </si>
  <si>
    <t>t / vb</t>
  </si>
  <si>
    <t>E007</t>
  </si>
  <si>
    <t>Trator Agrícola, Massey Ferguson MF 292/4</t>
  </si>
  <si>
    <t>E010</t>
  </si>
  <si>
    <t>Carregadeira de Pneus, Caterpillar 950G - 3,3 m³</t>
  </si>
  <si>
    <t>E011</t>
  </si>
  <si>
    <t>Retroescavadeira, Massey Ferguson MF-86HF - de pneus</t>
  </si>
  <si>
    <t>E013</t>
  </si>
  <si>
    <t>Rolo Compactador, Dynapac CA-25-P - pé de carneiro autopropelido - 11,25 ton. - vibratório</t>
  </si>
  <si>
    <t>E015</t>
  </si>
  <si>
    <t>Motoniveladora, Caterpillar 140H</t>
  </si>
  <si>
    <t>E016</t>
  </si>
  <si>
    <t>Carregadeira de Pneus, Case W-20 - 1,33 m³</t>
  </si>
  <si>
    <t>E062</t>
  </si>
  <si>
    <t>Escavadeira Hidráulica, Caterpillar 330DL - com esteira - 1,7 m³</t>
  </si>
  <si>
    <t>E101</t>
  </si>
  <si>
    <t>Grade de Discos, Marchesan - GA 24 x 24</t>
  </si>
  <si>
    <t>E102</t>
  </si>
  <si>
    <t>Rolo Compactador, Dynapac: cc-422 tanden vibrat. autop.</t>
  </si>
  <si>
    <t>E105</t>
  </si>
  <si>
    <t>Rolo Compactador, Caterpillar PS-360 C - de pneus autopropropelido 25,0 t</t>
  </si>
  <si>
    <t>E107</t>
  </si>
  <si>
    <t>Vassoura Mecânica, CMV-VM 7 - rebocável</t>
  </si>
  <si>
    <t>E108</t>
  </si>
  <si>
    <t>Distribuidor de Agregados, CMV - rebocável</t>
  </si>
  <si>
    <t>E110</t>
  </si>
  <si>
    <t>Tanque de Estocagem de Asfalto, Cifali - 20.000 l</t>
  </si>
  <si>
    <t>E111</t>
  </si>
  <si>
    <t>Equip. Distribuidor de Asfalto Fertex:-montado</t>
  </si>
  <si>
    <t>E112</t>
  </si>
  <si>
    <t>Aquecedor de Fluido Térmico, Tenge TH III</t>
  </si>
  <si>
    <t>E301</t>
  </si>
  <si>
    <t>Betoneira, Menegotti - 320 l</t>
  </si>
  <si>
    <t>E501</t>
  </si>
  <si>
    <t>Grupo Gerador: Heimer: GEHM-40 36/40 KVA</t>
  </si>
  <si>
    <t>E503</t>
  </si>
  <si>
    <t>Grupo Gerador: Heimer: GEHM-180 164/180 KVA</t>
  </si>
  <si>
    <t xml:space="preserve"> CUSTO UNITARIO DIRETO TOTAL&gt;&gt;&gt;&gt;</t>
  </si>
  <si>
    <t>Código 2 S 09 008 01 - Transporte comercial com cavalo Mecânico com reboque</t>
  </si>
  <si>
    <t>*Obs: Custo obtido do Boletim de Preços  SETPU NOV/2013</t>
  </si>
  <si>
    <t>Item</t>
  </si>
  <si>
    <t>E406</t>
  </si>
  <si>
    <t>E407</t>
  </si>
  <si>
    <t>E411</t>
  </si>
  <si>
    <t>Cavalo Mecânico com reboque</t>
  </si>
  <si>
    <t>s/n</t>
  </si>
  <si>
    <t>E408</t>
  </si>
  <si>
    <t>E402</t>
  </si>
  <si>
    <t>E403</t>
  </si>
  <si>
    <t>E404</t>
  </si>
  <si>
    <t>E412</t>
  </si>
  <si>
    <t>E416</t>
  </si>
  <si>
    <t>*Obs: Preços dos combustiveis cotados</t>
  </si>
  <si>
    <t>T410</t>
  </si>
  <si>
    <t>Auxiliar de escritorio</t>
  </si>
  <si>
    <t>Nivelador</t>
  </si>
  <si>
    <t>T611</t>
  </si>
  <si>
    <t>Vigia</t>
  </si>
  <si>
    <t>Cozinheiro</t>
  </si>
  <si>
    <t>T915</t>
  </si>
  <si>
    <t>T930</t>
  </si>
  <si>
    <t>Mecanico de maquinas</t>
  </si>
  <si>
    <t>T630</t>
  </si>
  <si>
    <t>Operadores de equipamento pesado</t>
  </si>
  <si>
    <t>2 S 06 410 00</t>
  </si>
  <si>
    <t>Administração local da obra - Pessoal</t>
  </si>
  <si>
    <t>1.7</t>
  </si>
  <si>
    <t>Obra:</t>
  </si>
  <si>
    <t>Rodovia:</t>
  </si>
  <si>
    <t>Extensão:</t>
  </si>
  <si>
    <t>Discriminação dos Serviços</t>
  </si>
  <si>
    <t>Valores</t>
  </si>
  <si>
    <t>PRAZO (EM DIAS CONSECUTIVOS)</t>
  </si>
  <si>
    <t>Total</t>
  </si>
  <si>
    <t>30 Dias</t>
  </si>
  <si>
    <t>60 Dias</t>
  </si>
  <si>
    <t>90 Dias</t>
  </si>
  <si>
    <t>120 Dias</t>
  </si>
  <si>
    <t>150 Dias</t>
  </si>
  <si>
    <t>180 Dias</t>
  </si>
  <si>
    <t>R$</t>
  </si>
  <si>
    <t>Faturamento</t>
  </si>
  <si>
    <t>Mensal (R$)</t>
  </si>
  <si>
    <t>Acumulado (R$)</t>
  </si>
  <si>
    <t>210 Dias</t>
  </si>
  <si>
    <t>240 Dias</t>
  </si>
  <si>
    <t>270 Dias</t>
  </si>
  <si>
    <t>300 Dias</t>
  </si>
  <si>
    <t>330 Dias</t>
  </si>
  <si>
    <t>360 Dias</t>
  </si>
  <si>
    <t>GOVERNO DO ESTADO DO MATO GROSSO</t>
  </si>
  <si>
    <t>SECRETARIA DE ESTADO E TRANSPORTE DE PAVIMENTAÇÃO URBANA</t>
  </si>
  <si>
    <t>SUPERINTÊNCIA DE OBRAS DE TRANSPORTE</t>
  </si>
  <si>
    <t>CRONOGRANA FINÂNCEIRO</t>
  </si>
  <si>
    <t>Municipio:</t>
  </si>
  <si>
    <t>Trecho:</t>
  </si>
  <si>
    <t>PROJETO EXECUTIVO DE IMPLANTAÇÃO / PAVIMENTAÇÃO</t>
  </si>
  <si>
    <t>MT 388</t>
  </si>
  <si>
    <t>Km 38 - Rio Juruena - Campos de julio - Alcomat</t>
  </si>
  <si>
    <t>02</t>
  </si>
  <si>
    <t>45,708540    km</t>
  </si>
  <si>
    <t>Campos de julio - MT</t>
  </si>
  <si>
    <t>Segmento: 02 (Estacas 1.656+17,62=14+11,46 a 2300)</t>
  </si>
  <si>
    <t>4 S 06 202 01</t>
  </si>
  <si>
    <t>2 S 00 000 30</t>
  </si>
  <si>
    <t>Marco de concreto de identificação da obra</t>
  </si>
  <si>
    <t>UN</t>
  </si>
  <si>
    <t>Esc. carga transp. mat. 1ª cat. DMT 1600 à 1800 c/e</t>
  </si>
  <si>
    <t>Compactação de aterros a 100% proctor normal</t>
  </si>
  <si>
    <t>Regularização do subleito</t>
  </si>
  <si>
    <t>2 S 02 500 52</t>
  </si>
  <si>
    <t>2 S 02 501 52</t>
  </si>
  <si>
    <t>Fornecimento de asfalto diluído CM-30</t>
  </si>
  <si>
    <t>Transporte de asfalto diluído CM-30</t>
  </si>
  <si>
    <t>3 S 04 001 00</t>
  </si>
  <si>
    <t>2 S 04 502 52</t>
  </si>
  <si>
    <t>Boca de saída de dreno longitudinal profundo BSD 02 - AC/BC</t>
  </si>
  <si>
    <t>2 S 04 900 54</t>
  </si>
  <si>
    <t>2 S 04 910 50</t>
  </si>
  <si>
    <t>Meio-fio de concreto - MFC 01 AC/BC tipo A (c/sarjeta de 30,0cm)</t>
  </si>
  <si>
    <t>2 S 04 940 52</t>
  </si>
  <si>
    <t>2 S 04 941 68</t>
  </si>
  <si>
    <t>Descida d'água aterros em degraus arm - DAD 18 - AC/BC</t>
  </si>
  <si>
    <t>2 S 04 942 51</t>
  </si>
  <si>
    <t>2 S 04 942 52</t>
  </si>
  <si>
    <t>2 S 04 950 62</t>
  </si>
  <si>
    <t>Dissipador de energia - DES 02 AC/PC</t>
  </si>
  <si>
    <t>2 S 04 950 71</t>
  </si>
  <si>
    <t>Dissipador de energia - DEB 01 AC/BC/PC</t>
  </si>
  <si>
    <t>2 S 04 950 79</t>
  </si>
  <si>
    <t>Dissipador de energia - DEB 09 AC/BC/PC</t>
  </si>
  <si>
    <t>Transporte local em rodovia não pavimentada (constr.)</t>
  </si>
  <si>
    <t>Transporte comercial de areia/brita rod. não pavimentada</t>
  </si>
  <si>
    <t>Transporte comercial de areia/brita/cimento/aço rod. pavimentada</t>
  </si>
  <si>
    <t>OBRAS DE ARTE CORRENTES</t>
  </si>
  <si>
    <t>3 S 03 940 01</t>
  </si>
  <si>
    <t>Enrocamento de pedra jogada - PC</t>
  </si>
  <si>
    <t>2 S 04 101 53</t>
  </si>
  <si>
    <t>Boca BSTC D=1,00m normal - AC/BC/PC</t>
  </si>
  <si>
    <t>2 S 04 200 60</t>
  </si>
  <si>
    <t>2 S 04 201 52</t>
  </si>
  <si>
    <t>Boca BSCC 2,00x2,00 m normal - AC/BC</t>
  </si>
  <si>
    <t>Pintura faixa - tinta base acrílica p/ 2 anos</t>
  </si>
  <si>
    <t>4 S 06 100 22</t>
  </si>
  <si>
    <t>4 S 06 121 11</t>
  </si>
  <si>
    <t>Forn. e colocação de tachão reflet. bidirecional</t>
  </si>
  <si>
    <t>Cercas de arame farpado com suporte de madeira</t>
  </si>
  <si>
    <t>2 S 04 400 01</t>
  </si>
  <si>
    <t>Valeta prot. cortes c/ revest. vegetal - VPC 01</t>
  </si>
  <si>
    <t>5 S 05 102 00</t>
  </si>
  <si>
    <t>Hidrossemeadura</t>
  </si>
  <si>
    <t>Administração Local</t>
  </si>
  <si>
    <t>QUADRO DE DISTRIBUIÇÃO DE MASSA</t>
  </si>
  <si>
    <t>ORIGEM</t>
  </si>
  <si>
    <t>DESTINO</t>
  </si>
  <si>
    <t>APLICAÇÃO</t>
  </si>
  <si>
    <t>ESTACA INICIAL</t>
  </si>
  <si>
    <t>ESTACA FINAL</t>
  </si>
  <si>
    <t>CLASSIFICAÇÃO</t>
  </si>
  <si>
    <t>VOLUMES</t>
  </si>
  <si>
    <t>b</t>
  </si>
  <si>
    <t>a</t>
  </si>
  <si>
    <t>c</t>
  </si>
  <si>
    <t>L</t>
  </si>
  <si>
    <t>L1</t>
  </si>
  <si>
    <t>L2</t>
  </si>
  <si>
    <t>DISTÂNCIA</t>
  </si>
  <si>
    <t>INTEIRA</t>
  </si>
  <si>
    <t>CORTE</t>
  </si>
  <si>
    <t>COMPACTADO</t>
  </si>
  <si>
    <t xml:space="preserve">EL-01 </t>
  </si>
  <si>
    <t>1ª</t>
  </si>
  <si>
    <t>50a200</t>
  </si>
  <si>
    <t>Corte</t>
  </si>
  <si>
    <t>até 50 m</t>
  </si>
  <si>
    <t>Compensação lat.</t>
  </si>
  <si>
    <t>EL-02</t>
  </si>
  <si>
    <t>EL-03</t>
  </si>
  <si>
    <t>EL-04</t>
  </si>
  <si>
    <t>400a600</t>
  </si>
  <si>
    <t xml:space="preserve"> Aterro</t>
  </si>
  <si>
    <t>RETORNO - ONIBUS</t>
  </si>
  <si>
    <t>800a1000</t>
  </si>
  <si>
    <t>CHICO FOLIA</t>
  </si>
  <si>
    <t>600a800</t>
  </si>
  <si>
    <t>RESUMO DA DISTRIBUIÇÃO DE MASSA</t>
  </si>
  <si>
    <t xml:space="preserve">DMT até 50 m </t>
  </si>
  <si>
    <t>DMT 801a1000</t>
  </si>
  <si>
    <t>DMT 1801a2000</t>
  </si>
  <si>
    <t>DMT 51a200</t>
  </si>
  <si>
    <t>DMT 1001a1200</t>
  </si>
  <si>
    <t>DMT 2001a3000</t>
  </si>
  <si>
    <t>DMT 201a400</t>
  </si>
  <si>
    <t>DMT 1201a1400</t>
  </si>
  <si>
    <t>DMT 3001a5000</t>
  </si>
  <si>
    <t>DMT 401a600</t>
  </si>
  <si>
    <t>DMT 1401a1600</t>
  </si>
  <si>
    <t>&gt; 5000</t>
  </si>
  <si>
    <t>DMT 601a800</t>
  </si>
  <si>
    <t>DMT 1601a1800</t>
  </si>
  <si>
    <t>ATERRO 95%</t>
  </si>
  <si>
    <t>ATERRO 100%</t>
  </si>
  <si>
    <t>BOTA FORA SUBSTITUIÇÃO DO SUBLEITO</t>
  </si>
  <si>
    <t>REFORÇO DO SUBLEITO</t>
  </si>
  <si>
    <t>BOTA FORA SUBSTITUIÇÃO DE SOLO MOLE</t>
  </si>
  <si>
    <t>CG</t>
  </si>
  <si>
    <t>SITUAÇÃO 01</t>
  </si>
  <si>
    <t xml:space="preserve">   b</t>
  </si>
  <si>
    <t>SITUAÇÃO 2</t>
  </si>
  <si>
    <t>DMT= a+b+c+ L</t>
  </si>
  <si>
    <t xml:space="preserve">     2</t>
  </si>
  <si>
    <t xml:space="preserve">    Eixo aplic.</t>
  </si>
  <si>
    <t xml:space="preserve"> a</t>
  </si>
  <si>
    <t>SOLO DE BAIXO ÍNDICE DE SUPORTE</t>
  </si>
  <si>
    <t xml:space="preserve">    Rodovia</t>
  </si>
  <si>
    <t xml:space="preserve">         Eixo</t>
  </si>
  <si>
    <r>
      <t xml:space="preserve">      L</t>
    </r>
    <r>
      <rPr>
        <sz val="7"/>
        <rFont val="Arial"/>
        <family val="2"/>
      </rPr>
      <t>1</t>
    </r>
  </si>
  <si>
    <r>
      <t>L</t>
    </r>
    <r>
      <rPr>
        <sz val="7"/>
        <rFont val="Arial"/>
        <family val="2"/>
      </rPr>
      <t>2</t>
    </r>
  </si>
  <si>
    <t xml:space="preserve">    Eixo aplic</t>
  </si>
  <si>
    <r>
      <t>DMT=a+b+L</t>
    </r>
    <r>
      <rPr>
        <b/>
        <sz val="7"/>
        <rFont val="Arial"/>
        <family val="2"/>
      </rPr>
      <t>1</t>
    </r>
    <r>
      <rPr>
        <b/>
        <sz val="10"/>
        <rFont val="Arial"/>
        <family val="2"/>
      </rPr>
      <t xml:space="preserve">²+ </t>
    </r>
    <r>
      <rPr>
        <b/>
        <sz val="8"/>
        <rFont val="Arial"/>
        <family val="2"/>
      </rPr>
      <t>L</t>
    </r>
    <r>
      <rPr>
        <b/>
        <sz val="7"/>
        <rFont val="Arial"/>
        <family val="2"/>
      </rPr>
      <t>2</t>
    </r>
    <r>
      <rPr>
        <b/>
        <sz val="10"/>
        <rFont val="Arial"/>
        <family val="2"/>
      </rPr>
      <t>²</t>
    </r>
  </si>
  <si>
    <t xml:space="preserve">    Rodovia           C</t>
  </si>
  <si>
    <r>
      <t xml:space="preserve">              2 ( L</t>
    </r>
    <r>
      <rPr>
        <b/>
        <sz val="7"/>
        <rFont val="Arial"/>
        <family val="2"/>
      </rPr>
      <t>1</t>
    </r>
    <r>
      <rPr>
        <b/>
        <sz val="8"/>
        <rFont val="Arial"/>
        <family val="2"/>
      </rPr>
      <t>+L</t>
    </r>
    <r>
      <rPr>
        <b/>
        <sz val="7"/>
        <rFont val="Arial"/>
        <family val="2"/>
      </rPr>
      <t>2</t>
    </r>
    <r>
      <rPr>
        <b/>
        <sz val="8"/>
        <rFont val="Arial"/>
        <family val="2"/>
      </rPr>
      <t xml:space="preserve"> )</t>
    </r>
  </si>
  <si>
    <t>RODOVIA: MT-351</t>
  </si>
  <si>
    <t>200a400</t>
  </si>
  <si>
    <t>Esc. carga transp. mat 1ª cat DMT 800 a 1000m c/e</t>
  </si>
  <si>
    <t>DESMATAMENTO, DESTOCAMENTO E LIMPEZA ÁREAS C/ARV. DIAM. ATÉ 0,15 M</t>
  </si>
  <si>
    <t>EXTENSÃO (M)</t>
  </si>
  <si>
    <t>LARGURAS (M)</t>
  </si>
  <si>
    <t>ÁREAS (M²)</t>
  </si>
  <si>
    <t>LE((Offset+5,00m)-3 (Meia Plataforma))</t>
  </si>
  <si>
    <t>LD(Offset+5,00m)-3 (Meia Plataforma))</t>
  </si>
  <si>
    <t>LE</t>
  </si>
  <si>
    <t>LD</t>
  </si>
  <si>
    <t>ACUMULADO</t>
  </si>
  <si>
    <t>LIMPO GRANDE</t>
  </si>
  <si>
    <t>RETORNO DO ONIBUS</t>
  </si>
  <si>
    <t>2 S 01 012 00</t>
  </si>
  <si>
    <t>Destocamento de árvores c/diâm. &gt; 0,30 m</t>
  </si>
  <si>
    <t>UNID</t>
  </si>
  <si>
    <t>DESMATAMENTO DE ÁRVORES</t>
  </si>
  <si>
    <t xml:space="preserve">ÁRVORE C/  DIÂMETRO DE 0,15M A 0,30M </t>
  </si>
  <si>
    <t xml:space="preserve">ÁRVORE C/  DIÂMETRO MAIOR QUE 0,30M </t>
  </si>
  <si>
    <t>QUANTIDADE</t>
  </si>
  <si>
    <t>TERRAPLENAGEM E PAVIMENTAÇÃO</t>
  </si>
  <si>
    <t>LOGRADOURO</t>
  </si>
  <si>
    <t>EXTENSÃO (m)</t>
  </si>
  <si>
    <t>IMPRIM. (m²)</t>
  </si>
  <si>
    <t>CORTE (m³)</t>
  </si>
  <si>
    <t>ATERRO (m³)</t>
  </si>
  <si>
    <t>(1) Largura do lado interno de meio-fio a meio-fio</t>
  </si>
  <si>
    <t>LARGURA   (m)</t>
  </si>
  <si>
    <t>SUBLEITO (m²)</t>
  </si>
  <si>
    <t>SUB-BASE (m³)</t>
  </si>
  <si>
    <t>BASE (m³)</t>
  </si>
  <si>
    <t xml:space="preserve">PISTA LE </t>
  </si>
  <si>
    <t>CANTEIRO CENTRAL</t>
  </si>
  <si>
    <t>PISTA LD</t>
  </si>
  <si>
    <t xml:space="preserve"> (FOLGA)</t>
  </si>
  <si>
    <t xml:space="preserve">ACOST. LD </t>
  </si>
  <si>
    <t>(FOLGA)</t>
  </si>
  <si>
    <t>ACOST. LE</t>
  </si>
  <si>
    <t>REFORÇO</t>
  </si>
  <si>
    <t>SUB-BASE</t>
  </si>
  <si>
    <t>BASE</t>
  </si>
  <si>
    <t>TSD (m²)</t>
  </si>
  <si>
    <t>TSS (m²)</t>
  </si>
  <si>
    <t>PISTA</t>
  </si>
  <si>
    <t>ACRESCIMO MÉDIO REFERENTES AS LARGURAS DAS SUPER LARGURAS/CAMADAS</t>
  </si>
  <si>
    <t>Tipo  de transporte 2 S 09 001  05  -  Transporte  local em rodovia  não  pavimentada (const)</t>
  </si>
  <si>
    <t>SERVIÇO</t>
  </si>
  <si>
    <t>MATERIAL</t>
  </si>
  <si>
    <t>F.UTILIZAÇÃO</t>
  </si>
  <si>
    <t>PESO(T) A TRANSPORTAR</t>
  </si>
  <si>
    <t>DMT(KM)</t>
  </si>
  <si>
    <t>MOMENTO DE TRANSPORTE(t.km)</t>
  </si>
  <si>
    <t>FATOR</t>
  </si>
  <si>
    <t>Solo</t>
  </si>
  <si>
    <t>t/m³</t>
  </si>
  <si>
    <t>Tipo  de transporte 2 S 09 002  91  -  Transporte  comercial c/basculante 10m³ em rodovia pavimentada</t>
  </si>
  <si>
    <t>Brita</t>
  </si>
  <si>
    <t>t/m</t>
  </si>
  <si>
    <t>Tipo  de transporte 2 S 09 002 91 -Transporte comercial de areia/brita/cimento/aço rod. pavimentada</t>
  </si>
  <si>
    <t>areia</t>
  </si>
  <si>
    <t>brita</t>
  </si>
  <si>
    <t>cimento</t>
  </si>
  <si>
    <t>unid</t>
  </si>
  <si>
    <t>t/unid</t>
  </si>
  <si>
    <t>Tipo  de transporte 2 S 09 001  91  -  Transporte  comercial c/basculante 10m³ em não rodovia pavimentada</t>
  </si>
  <si>
    <t>t/m²</t>
  </si>
  <si>
    <t>Tipo  de transporte 2 S 09 001  91  -  Transporte  comercial com basculante 10m³ em rodovia  não  pavimentada (const)</t>
  </si>
  <si>
    <t>tubo</t>
  </si>
  <si>
    <t>bota fora</t>
  </si>
  <si>
    <t>Corpo BSCC 2,00x2,00 m alt. 2,50 a 5,00m - AC/BC</t>
  </si>
  <si>
    <t>LE(Espelho talude+5,00m)</t>
  </si>
  <si>
    <t>LD(Espelho talude+5,00m)</t>
  </si>
  <si>
    <t>Limpo Grande</t>
  </si>
  <si>
    <t xml:space="preserve">Jazida </t>
  </si>
  <si>
    <t>TOTAIS (M²)</t>
  </si>
  <si>
    <t>talude LE</t>
  </si>
  <si>
    <t>talude LD</t>
  </si>
  <si>
    <t>solo</t>
  </si>
  <si>
    <t>LARGURAS MÉDIAS(M)</t>
  </si>
  <si>
    <t>LADO ESQUERDO</t>
  </si>
  <si>
    <t>LADO DIREITO</t>
  </si>
  <si>
    <t>NOTA DE SERVIÇO DE CERCA</t>
  </si>
  <si>
    <t>TRECHO: ENTR.° RODOVIA DOS IMIGRANTES - DISTRITO DO AGUAÇÚ</t>
  </si>
  <si>
    <t>SUB-TRECHO: KM 1,83 AO KM 11,13(DISTRITO DE AGUAÇÚ)</t>
  </si>
  <si>
    <t>LOCALIZAÇÃO  (ESTACAS)</t>
  </si>
  <si>
    <t>ÍNICIO</t>
  </si>
  <si>
    <t>remoção e recolocação</t>
  </si>
  <si>
    <t>construção</t>
  </si>
  <si>
    <t>TOTAL=</t>
  </si>
  <si>
    <t>Remoção de bueiros existentes</t>
  </si>
  <si>
    <t>5 S 04 999 01</t>
  </si>
  <si>
    <t>RODOVIA: ACESSO AO DISTRITO DE LIMPO GRANDE</t>
  </si>
  <si>
    <t>TRECHO: ENTRº MT 351 - ACESSO AO DISTRITO DE LIMPO GRANDE</t>
  </si>
  <si>
    <t>CRONOGRAMA FÍSICO - FINANCEIRO</t>
  </si>
  <si>
    <t>DISCRIMINAÇÃO DOS SERVIÇOS</t>
  </si>
  <si>
    <t>PRAZO DE EXECUÇÃO EM: 360 (TREZENTOS E SESSENTA) DIAS</t>
  </si>
  <si>
    <t>30 dias</t>
  </si>
  <si>
    <t>60 dias</t>
  </si>
  <si>
    <t>90 dias</t>
  </si>
  <si>
    <t>120 dias</t>
  </si>
  <si>
    <t>150 dias</t>
  </si>
  <si>
    <t>180 dias</t>
  </si>
  <si>
    <t>210 dias</t>
  </si>
  <si>
    <t>240 dias</t>
  </si>
  <si>
    <t>270 dias</t>
  </si>
  <si>
    <t>300 dias</t>
  </si>
  <si>
    <t>330 dias</t>
  </si>
  <si>
    <t>360 dias</t>
  </si>
  <si>
    <t>VALOR</t>
  </si>
  <si>
    <t>FATURAMENTO  SIMPLES (R$)</t>
  </si>
  <si>
    <t>PORCENTAGEM SIMPLES ( % )</t>
  </si>
  <si>
    <t>FATURAMENTO ACUMULADO (R$)</t>
  </si>
  <si>
    <t>PORCENTAGEM ACUMULADO ( % )</t>
  </si>
  <si>
    <t>SERVIÇOS</t>
  </si>
  <si>
    <t>VALOR (R$)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</si>
  <si>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</si>
  <si>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</si>
  <si>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</si>
  <si>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</si>
  <si>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</si>
  <si>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</si>
  <si>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</si>
  <si>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</si>
  <si>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</si>
  <si>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</si>
  <si>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TOTAL  GERAL</t>
  </si>
  <si>
    <t>TOTAL/KM (R$)</t>
  </si>
  <si>
    <t xml:space="preserve">RODOVIA:  </t>
  </si>
  <si>
    <r>
      <t>TRECHO:</t>
    </r>
    <r>
      <rPr>
        <b/>
        <sz val="10"/>
        <rFont val="Arial"/>
        <family val="2"/>
      </rPr>
      <t xml:space="preserve">  </t>
    </r>
  </si>
  <si>
    <t>BATA BASE: NOV/2016</t>
  </si>
  <si>
    <t>XI</t>
  </si>
  <si>
    <t>EXTENSÃO (km):</t>
  </si>
  <si>
    <t>Administração Central</t>
  </si>
  <si>
    <t>Riscos</t>
  </si>
  <si>
    <t>LUCRO</t>
  </si>
  <si>
    <t>Lucro Operacional</t>
  </si>
  <si>
    <t>PIS</t>
  </si>
  <si>
    <t>1600a1800</t>
  </si>
  <si>
    <t>EL-05</t>
  </si>
  <si>
    <t xml:space="preserve">Empréstimo Lateral </t>
  </si>
  <si>
    <t>Empréstimo Lateral</t>
  </si>
  <si>
    <t>4 S 06 200 01</t>
  </si>
  <si>
    <t xml:space="preserve"> Forn. e implantação placa sinaliz. semi-refletiva (desvio de tráfego)</t>
  </si>
  <si>
    <t>DRENO PROFUNDO</t>
  </si>
  <si>
    <t>DISSIPADORES</t>
  </si>
  <si>
    <t>ENTRADA D'AGUA</t>
  </si>
  <si>
    <t>SARJETAS</t>
  </si>
  <si>
    <t>MEIO-FIO</t>
  </si>
  <si>
    <t>2,00X2,00</t>
  </si>
  <si>
    <t>DRENO</t>
  </si>
  <si>
    <t>BOCA</t>
  </si>
  <si>
    <t>DEB-01</t>
  </si>
  <si>
    <t>DEB-04</t>
  </si>
  <si>
    <t>DEB-09</t>
  </si>
  <si>
    <t>DES-02</t>
  </si>
  <si>
    <t>DAR-02</t>
  </si>
  <si>
    <t>DAD-18</t>
  </si>
  <si>
    <t>EDA-01</t>
  </si>
  <si>
    <t>EDA-02</t>
  </si>
  <si>
    <t>STC 04</t>
  </si>
  <si>
    <t>S</t>
  </si>
  <si>
    <t>BSD-02</t>
  </si>
  <si>
    <t>C/SARJETA</t>
  </si>
  <si>
    <t>REGULARIZAÇÃO MECÂNICA DA FAIXA DE DOMÍNIO</t>
  </si>
  <si>
    <t xml:space="preserve">INSTALAÇÃO DE CANTEIRO DE OBRAS E ACAMPAMENTOS  </t>
  </si>
  <si>
    <t>SINAPI - Indice e custos da construção</t>
  </si>
  <si>
    <t>Custo médio (Fonte: site IBGE)</t>
  </si>
  <si>
    <t>R$/m2</t>
  </si>
  <si>
    <t>Estado: MATO GROSSO</t>
  </si>
  <si>
    <t>Fator de adequação:</t>
  </si>
  <si>
    <t>Custo adotado:</t>
  </si>
  <si>
    <t>1 - INSTALAÇÃO DO CANTEIRO DE OBRAS E ALOJAMENTOS</t>
  </si>
  <si>
    <t xml:space="preserve">Nº </t>
  </si>
  <si>
    <t>Descrição</t>
  </si>
  <si>
    <t>Área (m2)</t>
  </si>
  <si>
    <t>Custo / m2             ( R$ )</t>
  </si>
  <si>
    <t xml:space="preserve"> Custo Total   ( R$ )</t>
  </si>
  <si>
    <t xml:space="preserve">                                                                                                        1.1 - Edificações do Canteiro</t>
  </si>
  <si>
    <t xml:space="preserve">Guarita </t>
  </si>
  <si>
    <t xml:space="preserve">Escritório Administrativo/Fiscalização </t>
  </si>
  <si>
    <t xml:space="preserve">Vestiário/Chuveiros/ Sanitários </t>
  </si>
  <si>
    <t>Área de circulação (Interna)</t>
  </si>
  <si>
    <t>TOTAL DAS EDIFICAÇÕES DO ADMINISTRAÇÃO</t>
  </si>
  <si>
    <t>Segurança do Trabalho e Ambulatório</t>
  </si>
  <si>
    <t xml:space="preserve">Laboratório </t>
  </si>
  <si>
    <t xml:space="preserve">Oficina </t>
  </si>
  <si>
    <t xml:space="preserve">TOTAL 1 - INSTALAÇÃO DO CANTEIRO DE OBRAS E ALOJAMENTOS </t>
  </si>
  <si>
    <t>CUSTO DIRETO</t>
  </si>
  <si>
    <t>TOTAL INSTALAÇÃO DE CANTEIRO DE OBRAS E ACAMPAMENTOS</t>
  </si>
  <si>
    <r>
      <t xml:space="preserve">Fator de Area Equivalente - </t>
    </r>
    <r>
      <rPr>
        <b/>
        <sz val="8"/>
        <color theme="1"/>
        <rFont val="Calibri"/>
        <family val="2"/>
        <scheme val="minor"/>
      </rPr>
      <t>Tab. A.14 - % Custo SINAPI - por final. da Edif. - Man. de Diretr. Bás.</t>
    </r>
  </si>
  <si>
    <t>Lubrificação e Lavagem</t>
  </si>
  <si>
    <t>Depósito</t>
  </si>
  <si>
    <t>Posto de Abastecimento</t>
  </si>
  <si>
    <t>Cozinha /refeitório</t>
  </si>
  <si>
    <t>Área de circulação - descoberta</t>
  </si>
  <si>
    <t>ABC - ADMINISTRAÇÃO/ALOJAMENTO/CANTEIRO DE OBRA</t>
  </si>
  <si>
    <t>HIDROSSEMEADURA</t>
  </si>
  <si>
    <t>RODOVIA:  ACESSO AO DEISTRITO DE LIMO GRANDE</t>
  </si>
  <si>
    <t>03 (três)Limpa rodas</t>
  </si>
  <si>
    <t>SUB-TRECHO: ENTR.º MT-351 - DISTRITO DE LIMPO GRANDE</t>
  </si>
  <si>
    <t>Áreas de  e jazida</t>
  </si>
  <si>
    <t>Áreas de  jazida</t>
  </si>
  <si>
    <t>: IMPLANTAÇÃO E PAVIMENTAÇÃO DE RODOVIA</t>
  </si>
  <si>
    <t>: Acesso ao Disrito de Limpo Grande</t>
  </si>
  <si>
    <t>Entr.° MT-351 - Distrito de Limpo Grande</t>
  </si>
  <si>
    <t>Município:</t>
  </si>
  <si>
    <t>Várzea Grande</t>
  </si>
  <si>
    <t xml:space="preserve">CÓDIGO </t>
  </si>
  <si>
    <t>Instalações de Canteiro e Acampamento</t>
  </si>
  <si>
    <t>2 s 00 000 24</t>
  </si>
  <si>
    <t>Placa de obra</t>
  </si>
  <si>
    <t>Desm. dest. limpeza areas c/arv. diam. ate 0,15 m</t>
  </si>
  <si>
    <t>Esc., carga, transp.mat. 1ª cat DMT 50m</t>
  </si>
  <si>
    <t>Esc., carga, transp.mat. 1ª cat DMT 50 a 200m c/e</t>
  </si>
  <si>
    <t>Esc., carga, transp.mat. 1ª cat DMT 200 a 400m c/e</t>
  </si>
  <si>
    <t>Esc., carga, transp.mat. 1ª cat DMT 400 a 600m c/e</t>
  </si>
  <si>
    <t>Esc., carga, transp.mat. 1ª cat DMT 600 a 800m c/e</t>
  </si>
  <si>
    <t>Sub-base de solo estabilizado granulometricamente s/mistura</t>
  </si>
  <si>
    <t>Base de solo estabilizado granulo. s/mistura</t>
  </si>
  <si>
    <t xml:space="preserve"> Tratamento superficial simples c/ banho diluído - BC</t>
  </si>
  <si>
    <t xml:space="preserve"> Tratamento superficial duplo c/ banho diluído - BC</t>
  </si>
  <si>
    <t xml:space="preserve">Fornecimento de emulsão asfáltica RR-2C </t>
  </si>
  <si>
    <t>TRANSPORTE PARA PAVIMENTAÇÃO</t>
  </si>
  <si>
    <t>txkm</t>
  </si>
  <si>
    <t xml:space="preserve">Transporte de emulsão asfáltica RR-2C </t>
  </si>
  <si>
    <t xml:space="preserve">Transp. com. c/ basc. 10m³ rodovia  não pavimentada </t>
  </si>
  <si>
    <t xml:space="preserve">Transp. com. c/ basc. 10m³ rodovia pavimentada </t>
  </si>
  <si>
    <t>DRENAGEM</t>
  </si>
  <si>
    <t>Escavação mecaniz de vala em material de 1ª cat. (implantação dreno profundo)</t>
  </si>
  <si>
    <t>unid.</t>
  </si>
  <si>
    <t>Sarjeta triangular de concreto STC  04  AC/BC</t>
  </si>
  <si>
    <t>Descida d'água tipo rap. canal retang. DAR 02 - AC/BC</t>
  </si>
  <si>
    <t>Entrada d´água - EDA 01 - AC/BC</t>
  </si>
  <si>
    <t>Entrada d´água - EDA 02 - AC/BC</t>
  </si>
  <si>
    <t>Escavação mecaniz de vala em material de 1ª cat. (implantação bueiros)</t>
  </si>
  <si>
    <t>Escav. E carga de mat. Jazida -(Inclusive Indenização de Jazida)-(Rodov. Não pav.)</t>
  </si>
  <si>
    <t>Reaterro e compcatação p/bueiro (Bueiros implantados)</t>
  </si>
  <si>
    <t>2 S 05  300 52</t>
  </si>
  <si>
    <t>TRANSPORTE DE OBRAS DE ARTES CORRENTES</t>
  </si>
  <si>
    <t>Pintura setas e zebrados - tinta acrílica - 2 anos.</t>
  </si>
  <si>
    <t>Forn. e implant.de placa de sinalização totalm. reflexiva.</t>
  </si>
  <si>
    <t>Forn. e colocação de tacha reflet. bidirecional</t>
  </si>
  <si>
    <t xml:space="preserve">2 S 06 410 00 </t>
  </si>
  <si>
    <t>Regularização mecânica de superfície do terreno (cx. de emprést. e jazidas)</t>
  </si>
  <si>
    <t>PREFEITURA MUNICIPAL DE VÁRZEA GRANDE</t>
  </si>
  <si>
    <t>QUADRO DE QUANTIDADES E ORÇAMENTO</t>
  </si>
  <si>
    <t>QUADRO DE QUANTIDADES</t>
  </si>
  <si>
    <t>CUSTO</t>
  </si>
  <si>
    <t xml:space="preserve">UNITÁRIO  </t>
  </si>
  <si>
    <t xml:space="preserve">PARCIAL  </t>
  </si>
  <si>
    <t>PROZO DE EXECUÇÃO:  DIAS</t>
  </si>
  <si>
    <t>PREÇO: SICRO II</t>
  </si>
  <si>
    <t>Dreno PEAD long. prof.p/corte em solo-DPS 13 AC/BC</t>
  </si>
  <si>
    <t>2 S 04 500 63</t>
  </si>
  <si>
    <t>2 S 04 910 53</t>
  </si>
  <si>
    <t>3 S 01 200 00</t>
  </si>
  <si>
    <t>A 01 155 51</t>
  </si>
  <si>
    <t>2 S 04 100 53</t>
  </si>
  <si>
    <t>Corpo BSTC D=1,00 m AC/BC/PC</t>
  </si>
  <si>
    <t>Acesso ao Distrito Limpo Grande</t>
  </si>
  <si>
    <t xml:space="preserve"> Entº da MT-351 - Distrito de Limpo Grande</t>
  </si>
  <si>
    <t>aço</t>
  </si>
  <si>
    <t>RESUMO  DO  ORÇAMENTO</t>
  </si>
  <si>
    <t>TRECHO: ENTR.º351  - DISTRITO DE LIMPO GRANDE</t>
  </si>
  <si>
    <t xml:space="preserve">BUEIROS </t>
  </si>
  <si>
    <t xml:space="preserve">BOCAS </t>
  </si>
  <si>
    <t>DPS-13</t>
  </si>
  <si>
    <t>DESCIDAS D'ÁGUA</t>
  </si>
  <si>
    <t>QUADRO RESUMO DA DRENAGEM</t>
  </si>
  <si>
    <t>EL-0</t>
  </si>
  <si>
    <t>: 4.0773,40 m</t>
  </si>
  <si>
    <t>OBRAS COMPLEMENTARES</t>
  </si>
  <si>
    <t>HIDROSSEMEADURA JAZIDA</t>
  </si>
  <si>
    <t>COMP.</t>
  </si>
  <si>
    <t>comp.</t>
  </si>
  <si>
    <t>COMPOSIÇÃO DA ADMINISTRAÇÃO LOCAL</t>
  </si>
  <si>
    <t>VARZEA GRANDE - MT</t>
  </si>
  <si>
    <t>SINAPI COM DESONERAÇÃO - NOV/2016</t>
  </si>
  <si>
    <t>DNIT - 11/2016   -  SINFRA/2012</t>
  </si>
  <si>
    <t>COMPOSIÇÃO DA ADMINISTRAÇÃO LOCAL              VÁRZEA GRANDE</t>
  </si>
  <si>
    <t>Discriminação  dos Serviços</t>
  </si>
  <si>
    <t>Pessoal</t>
  </si>
  <si>
    <t>Quantitativos</t>
  </si>
  <si>
    <t>Preço  Unitário</t>
  </si>
  <si>
    <t>SECO</t>
  </si>
  <si>
    <t>BDI</t>
  </si>
  <si>
    <t>qtd</t>
  </si>
  <si>
    <t>valor</t>
  </si>
  <si>
    <t>H/mês</t>
  </si>
  <si>
    <t>Unid.</t>
  </si>
  <si>
    <t>(mês)</t>
  </si>
  <si>
    <t>(R$)</t>
  </si>
  <si>
    <t>A</t>
  </si>
  <si>
    <t>EQUIPE TECNICA</t>
  </si>
  <si>
    <t>A.1</t>
  </si>
  <si>
    <t>Pessoal Nivel Superior</t>
  </si>
  <si>
    <t>Hxm</t>
  </si>
  <si>
    <t>Sinapi NOV/2016</t>
  </si>
  <si>
    <t>00002706</t>
  </si>
  <si>
    <t>Engenheiro ou arquiteto auxiliar/júnior - de obra</t>
  </si>
  <si>
    <t>00000532</t>
  </si>
  <si>
    <t>Auxiliar técnico - técnico de segurança trabalho</t>
  </si>
  <si>
    <t>A.2</t>
  </si>
  <si>
    <t>Pessoal Auxiliar</t>
  </si>
  <si>
    <t>auxiliar tecnico</t>
  </si>
  <si>
    <t>00007592</t>
  </si>
  <si>
    <t>topografo</t>
  </si>
  <si>
    <t>00000244</t>
  </si>
  <si>
    <t>auxiliar de topografia</t>
  </si>
  <si>
    <t>00007153</t>
  </si>
  <si>
    <t>tecnico de laboratorio</t>
  </si>
  <si>
    <t>00000245</t>
  </si>
  <si>
    <t>auxiliar de laboratorio</t>
  </si>
  <si>
    <t>A.3</t>
  </si>
  <si>
    <t>00002350</t>
  </si>
  <si>
    <t>auxiliar de escritorio</t>
  </si>
  <si>
    <t>00000253</t>
  </si>
  <si>
    <t>almoxarife</t>
  </si>
  <si>
    <t>00010508</t>
  </si>
  <si>
    <t>vigia noturno</t>
  </si>
  <si>
    <t>00004095</t>
  </si>
  <si>
    <t>motorista de veiculo leve</t>
  </si>
  <si>
    <t>B</t>
  </si>
  <si>
    <t>DESPESAS GERAIS</t>
  </si>
  <si>
    <t>B.1</t>
  </si>
  <si>
    <t>Veículos</t>
  </si>
  <si>
    <t>00001160</t>
  </si>
  <si>
    <t>veiculo comercial leve - capacidade de carga ate 700 kg com motor a gasolina tipo vw-saveiro ou similar</t>
  </si>
  <si>
    <t>B.2</t>
  </si>
  <si>
    <t>Equipamentos</t>
  </si>
  <si>
    <t>Dnit - 11/2016</t>
  </si>
  <si>
    <t>instrumental de topografia</t>
  </si>
  <si>
    <t>laboratório de solos</t>
  </si>
  <si>
    <t>B.3</t>
  </si>
  <si>
    <t>Controle tecnológico</t>
  </si>
  <si>
    <t>B.4</t>
  </si>
  <si>
    <t>Imóveis</t>
  </si>
  <si>
    <t>escritório</t>
  </si>
  <si>
    <t>B.5</t>
  </si>
  <si>
    <t>Mobiliário</t>
  </si>
  <si>
    <t>de escritório</t>
  </si>
  <si>
    <t>B.6</t>
  </si>
  <si>
    <t>Materiais e Serviços de Consumo</t>
  </si>
  <si>
    <t>Sinfra-set/2012</t>
  </si>
  <si>
    <t>DV01</t>
  </si>
  <si>
    <t>Aquisição de água potável e bruta</t>
  </si>
  <si>
    <t>DV05</t>
  </si>
  <si>
    <t>Aquisição de energia elétrica para força e luz</t>
  </si>
  <si>
    <t>DV10</t>
  </si>
  <si>
    <t>Aquisição de canais de comunicação de voz e dados</t>
  </si>
  <si>
    <t>DV15</t>
  </si>
  <si>
    <t>Aquisição de materiais de escritório</t>
  </si>
  <si>
    <t>DV35</t>
  </si>
  <si>
    <t>Aqusição de materiais para Oficina e Borracharia</t>
  </si>
  <si>
    <t>DV45</t>
  </si>
  <si>
    <t>Aquisição de materiais de limpeza e higiene</t>
  </si>
  <si>
    <t>DV99</t>
  </si>
  <si>
    <t>Outras despesas (limpeza, conserva, etc.)</t>
  </si>
  <si>
    <t>DF10</t>
  </si>
  <si>
    <t>CREA - ART/ registro contrato/acervo técnico</t>
  </si>
  <si>
    <t>PREÇO TOTAL PARA 12 MESES</t>
  </si>
  <si>
    <t>PREÇO MENSAL</t>
  </si>
  <si>
    <t>sinapi (90,01)</t>
  </si>
  <si>
    <t>caixa (52,06)</t>
  </si>
  <si>
    <t>BDI - BENEFICIOS E DESPESAS INDIRETAS</t>
  </si>
  <si>
    <t>PERCENTUAL</t>
  </si>
  <si>
    <t>CUSTO OBRA</t>
  </si>
  <si>
    <t>Outras Fontes</t>
  </si>
  <si>
    <t>VALOR DA OBRA</t>
  </si>
  <si>
    <t>( % )</t>
  </si>
  <si>
    <t>ADMINISTRAÇÃO DA OBRA</t>
  </si>
  <si>
    <t>Seguro e Garantia</t>
  </si>
  <si>
    <t>Despesas Financeiras</t>
  </si>
  <si>
    <t>TRIBUTOS</t>
  </si>
  <si>
    <t>COFINS</t>
  </si>
  <si>
    <t>ISSqn</t>
  </si>
  <si>
    <t>CPRB</t>
  </si>
  <si>
    <t>Não incidem IRPJ e CSLL na composição de Tributos.</t>
  </si>
  <si>
    <t xml:space="preserve">TAXA DE BDI A SER APLICADA 
SOBRE O CUSTO DIRETO </t>
  </si>
  <si>
    <t>Formula para o calculo do BDI:</t>
  </si>
  <si>
    <t xml:space="preserve">De acordo com o ACÓRDÃO Nº 2622/2013 – TCU – Plenário </t>
  </si>
  <si>
    <t>PLANILHA DE COMPOSIÇÃO DE PREÇO UNITÁRIO</t>
  </si>
  <si>
    <t>Código:</t>
  </si>
  <si>
    <t>Serviço: PREÇO COM BASE NA SICRO 2 SINFRA</t>
  </si>
  <si>
    <t>Unidade:</t>
  </si>
  <si>
    <t>COMP</t>
  </si>
  <si>
    <t>Sub-base solo estabilizado granul. s/mistura</t>
  </si>
  <si>
    <t xml:space="preserve">     (A) EQUIPAMENTO</t>
  </si>
  <si>
    <t>UTILIZAÇÃO</t>
  </si>
  <si>
    <t>CUSTO OPERACÃO</t>
  </si>
  <si>
    <t>CUSTO HORÁRIO</t>
  </si>
  <si>
    <t>PROD.</t>
  </si>
  <si>
    <t>IMPROD.</t>
  </si>
  <si>
    <t>E006 - Motoniveladora - (103 kW)</t>
  </si>
  <si>
    <t>E007 - Trator Agrícola - (74 kW)</t>
  </si>
  <si>
    <t>E013 - Rolo Compactador - pé de carneiro autop. 11,25t vibrat (82 KW)</t>
  </si>
  <si>
    <t>E101 - Grade de Discos - GA 24 x 24</t>
  </si>
  <si>
    <t>E105 - Rolo Compactador - de pneus autoprop. 25 t (98 kW)</t>
  </si>
  <si>
    <t>E404 - Caminhão Basculante - 10 m3 - 15 t (210 kW)</t>
  </si>
  <si>
    <t>E407 - Caminhão Tanque - 10.000 l (210 kW)</t>
  </si>
  <si>
    <t>Adc M.O. - Ferramentas</t>
  </si>
  <si>
    <t>Total (A)</t>
  </si>
  <si>
    <t xml:space="preserve">     (B) MÃO DE OBRA SUPLEMENTAR</t>
  </si>
  <si>
    <t>SÁLARIO           / HORA</t>
  </si>
  <si>
    <t>Encarregado de turma</t>
  </si>
  <si>
    <t>Servente</t>
  </si>
  <si>
    <t>Total (B)</t>
  </si>
  <si>
    <t>PRODUÇÃO HORÁRIA/EQUIPE (C) =</t>
  </si>
  <si>
    <t>CUSTO TOTAL DE EXECUÇÃO: (A)+(B)</t>
  </si>
  <si>
    <t>C U S T O   U N I T Á R I O   D E   E X E C U Ç Ã O :   (D)  =  [ (A) + (B) ]  /  (C)</t>
  </si>
  <si>
    <t xml:space="preserve">     (E) MATERIAIS E ATIVIDADES AUXILIARES</t>
  </si>
  <si>
    <t>UNIDADE</t>
  </si>
  <si>
    <t>CONSUMO UNITÁRIO</t>
  </si>
  <si>
    <t>PREÇO UNITÁRIO</t>
  </si>
  <si>
    <t>CUSTO UNITÁRIO</t>
  </si>
  <si>
    <t xml:space="preserve">Aquisição de material de jazida </t>
  </si>
  <si>
    <t>Total (E)</t>
  </si>
  <si>
    <t xml:space="preserve">     (F) TRANSPORTES</t>
  </si>
  <si>
    <t>D M T   (km)</t>
  </si>
  <si>
    <t>CONS. UNIT.           ( t / un )</t>
  </si>
  <si>
    <t>T/RP</t>
  </si>
  <si>
    <t>PAV</t>
  </si>
  <si>
    <t>Total (F)</t>
  </si>
  <si>
    <t xml:space="preserve">     C U S T O   U N I T Á R I O   T O T A L   D E   E X E C U Ç Ã O:   (D) + (E) + (F)</t>
  </si>
  <si>
    <t xml:space="preserve">     B O N I F I C A Ç Ã O: </t>
  </si>
  <si>
    <t>(</t>
  </si>
  <si>
    <t>)</t>
  </si>
  <si>
    <t xml:space="preserve">    P R E Ç O   U N I T Á R I O   T O T A L</t>
  </si>
  <si>
    <t>Base solo estabilizado granul. s/mistura</t>
  </si>
  <si>
    <t>DATA BASE: NOV/2016</t>
  </si>
  <si>
    <t>: 4.073,40 m</t>
  </si>
  <si>
    <t>ACESSO AO DISTRITO DE LIMPO GRANDE</t>
  </si>
  <si>
    <r>
      <t xml:space="preserve">TRECHO:     </t>
    </r>
    <r>
      <rPr>
        <sz val="12"/>
        <color rgb="FF000000"/>
        <rFont val="Times New Roman"/>
        <family val="1"/>
      </rPr>
      <t xml:space="preserve"> ENTR.°  MT-351 – DISTRITO DE LIMPO GRANDE</t>
    </r>
  </si>
  <si>
    <t>LDI ( 28,10%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</si>
</sst>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0.0"/>
    <numFmt numFmtId="167" formatCode="#,##0.000"/>
    <numFmt numFmtId="168" formatCode="&quot;Cr$&quot;#,##0_);\(&quot;Cr$&quot;#,##0\)"/>
    <numFmt numFmtId="169" formatCode="_(* #,##0_);_(* \(#,##0\);_(* &quot;-&quot;??_);_(@_)"/>
    <numFmt numFmtId="170" formatCode="#,##0.0000"/>
    <numFmt numFmtId="171" formatCode="_(* #,##0.000_);_(* \(#,##0.000\);_(* &quot;-&quot;??_);_(@_)"/>
    <numFmt numFmtId="172" formatCode="#,##0.000000"/>
    <numFmt numFmtId="173" formatCode="#,##0.000_);\(#,##0.000\)"/>
    <numFmt numFmtId="174" formatCode="_(* #,##0.0000_);_(* \(#,##0.0000\);_(* &quot;-&quot;??_);_(@_)"/>
    <numFmt numFmtId="175" formatCode="_-* #,##0.0000_-;\-* #,##0.0000_-;_-* &quot;-&quot;????_-;_-@_-"/>
    <numFmt numFmtId="176" formatCode="_-* #,##0.00_-;\-* #,##0.00_-;_-* \-??_-;_-@_-"/>
    <numFmt numFmtId="177" formatCode="#,##0.00_);[Red]\(#,##0.00\)"/>
    <numFmt numFmtId="178" formatCode="0.0000"/>
    <numFmt numFmtId="179" formatCode="###0.000;###0.000"/>
    <numFmt numFmtId="180" formatCode="_-* #,##0.00_-;_-* #,##0.00\-;_-* &quot;-&quot;??_-;_-@_-"/>
    <numFmt numFmtId="181" formatCode="_(* #,##0.000_);_(* \(#,##0.000\);_(* &quot;-&quot;???_);_(@_)"/>
    <numFmt numFmtId="182" formatCode="###0;###0"/>
    <numFmt numFmtId="183" formatCode="###0.0000;###0.0000"/>
    <numFmt numFmtId="184" formatCode="_(* #,##0.00_);_(* \(#,##0.00\);_(* \-??_);_(@_)"/>
    <numFmt numFmtId="185" formatCode="_-* #,##0.000_-;\-* #,##0.000_-;_-* &quot;-&quot;???_-;_-@_-"/>
    <numFmt numFmtId="186" formatCode="#,##0.00000"/>
    <numFmt numFmtId="187" formatCode="###0.00;###0.00"/>
    <numFmt numFmtId="188" formatCode="0#"/>
    <numFmt numFmtId="189" formatCode="#,##0.00_);\(#,##0.00\)"/>
    <numFmt numFmtId="190" formatCode="_(&quot;R$ &quot;* #,##0.00_);_(&quot;R$ &quot;* \(#,##0.00\);_(&quot;R$ &quot;* &quot;-&quot;??_);_(@_)"/>
    <numFmt numFmtId="191" formatCode="_(* #,##0.0_);_(* \(#,##0.0\);_(* &quot;-&quot;??_);_(@_)"/>
  </numFmts>
  <fonts count="8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25"/>
      <name val="Dutch801 Rm BT"/>
      <family val="1"/>
    </font>
    <font>
      <b/>
      <sz val="16"/>
      <name val="Tahoma"/>
      <family val="2"/>
    </font>
    <font>
      <b/>
      <sz val="13.5"/>
      <name val="Tahoma"/>
      <family val="2"/>
    </font>
    <font>
      <b/>
      <sz val="14"/>
      <name val="Tahoma"/>
      <family val="2"/>
    </font>
    <font>
      <b/>
      <sz val="13"/>
      <name val="Tahoma"/>
      <family val="2"/>
    </font>
    <font>
      <b/>
      <sz val="13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Courier"/>
      <family val="3"/>
    </font>
    <font>
      <sz val="8"/>
      <name val="Tahoma"/>
      <family val="2"/>
    </font>
    <font>
      <shadow/>
      <sz val="32"/>
      <color indexed="9"/>
      <name val="Times New Roman"/>
      <family val="1"/>
    </font>
    <font>
      <b/>
      <sz val="14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8"/>
      <name val="Calibri"/>
      <family val="2"/>
    </font>
    <font>
      <sz val="14"/>
      <name val="Arial"/>
      <family val="2"/>
    </font>
    <font>
      <b/>
      <sz val="11"/>
      <name val="Arial"/>
      <family val="2"/>
    </font>
    <font>
      <sz val="11"/>
      <color rgb="FF000000"/>
      <name val="Calibri"/>
      <family val="2"/>
      <charset val="1"/>
    </font>
    <font>
      <sz val="8"/>
      <color rgb="FF00000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sz val="10"/>
      <color rgb="FF0070C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8.5"/>
      <name val="Times New Roman"/>
      <family val="1"/>
    </font>
    <font>
      <b/>
      <sz val="10"/>
      <name val="MS Sans Serif"/>
      <family val="2"/>
    </font>
    <font>
      <b/>
      <sz val="16"/>
      <name val="Times New Roman"/>
      <family val="1"/>
    </font>
    <font>
      <sz val="8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Tekton"/>
    </font>
    <font>
      <b/>
      <sz val="10"/>
      <color theme="1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Tahoma"/>
      <family val="2"/>
    </font>
    <font>
      <b/>
      <u/>
      <sz val="10"/>
      <name val="Tahoma"/>
      <family val="2"/>
    </font>
    <font>
      <b/>
      <sz val="8"/>
      <name val="Tahoma"/>
      <family val="2"/>
    </font>
    <font>
      <b/>
      <sz val="10"/>
      <color indexed="8"/>
      <name val="Tahoma"/>
      <family val="2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0"/>
      <name val="Arial"/>
    </font>
    <font>
      <sz val="12"/>
      <name val="Arial Black"/>
      <family val="2"/>
    </font>
    <font>
      <sz val="11"/>
      <name val="Arial Black"/>
      <family val="2"/>
    </font>
    <font>
      <b/>
      <sz val="12"/>
      <color indexed="8"/>
      <name val="Tahoma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9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rgb="FFFABF8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CC99"/>
      </patternFill>
    </fill>
    <fill>
      <patternFill patternType="solid">
        <fgColor theme="0"/>
        <bgColor rgb="FFFFFF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rgb="FFD8D8D8"/>
      </patternFill>
    </fill>
  </fills>
  <borders count="19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hair">
        <color indexed="23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3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7">
    <xf numFmtId="0" fontId="0" fillId="0" borderId="0"/>
    <xf numFmtId="164" fontId="2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37" fillId="0" borderId="0"/>
    <xf numFmtId="0" fontId="1" fillId="0" borderId="0"/>
    <xf numFmtId="164" fontId="1" fillId="0" borderId="0" applyFont="0" applyFill="0" applyBorder="0" applyAlignment="0" applyProtection="0"/>
    <xf numFmtId="0" fontId="8" fillId="0" borderId="0"/>
    <xf numFmtId="0" fontId="1" fillId="0" borderId="0"/>
    <xf numFmtId="0" fontId="52" fillId="0" borderId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0" fontId="1" fillId="0" borderId="0"/>
    <xf numFmtId="0" fontId="2" fillId="0" borderId="0"/>
    <xf numFmtId="9" fontId="8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4" fontId="8" fillId="0" borderId="0" xfId="0" applyNumberFormat="1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3" fontId="8" fillId="0" borderId="0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justify" vertical="center" wrapText="1"/>
    </xf>
    <xf numFmtId="0" fontId="8" fillId="3" borderId="0" xfId="0" applyFont="1" applyFill="1" applyBorder="1" applyAlignment="1">
      <alignment horizontal="justify" vertical="center" wrapText="1"/>
    </xf>
    <xf numFmtId="0" fontId="8" fillId="3" borderId="0" xfId="0" applyFont="1" applyFill="1" applyBorder="1" applyAlignment="1">
      <alignment horizontal="center" vertical="center"/>
    </xf>
    <xf numFmtId="4" fontId="8" fillId="3" borderId="0" xfId="0" applyNumberFormat="1" applyFont="1" applyFill="1" applyBorder="1" applyAlignment="1">
      <alignment horizontal="center" vertical="center"/>
    </xf>
    <xf numFmtId="4" fontId="9" fillId="3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0" fontId="11" fillId="0" borderId="0" xfId="0" applyFont="1" applyBorder="1"/>
    <xf numFmtId="165" fontId="11" fillId="0" borderId="0" xfId="0" applyNumberFormat="1" applyFont="1" applyBorder="1" applyAlignment="1">
      <alignment horizontal="right"/>
    </xf>
    <xf numFmtId="2" fontId="11" fillId="0" borderId="0" xfId="0" applyNumberFormat="1" applyFont="1" applyBorder="1" applyAlignment="1">
      <alignment horizontal="center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vertical="center"/>
    </xf>
    <xf numFmtId="2" fontId="11" fillId="0" borderId="0" xfId="0" applyNumberFormat="1" applyFont="1" applyBorder="1" applyAlignment="1">
      <alignment horizontal="right"/>
    </xf>
    <xf numFmtId="0" fontId="5" fillId="0" borderId="4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2" fillId="0" borderId="0" xfId="0" applyFont="1" applyFill="1" applyBorder="1" applyAlignment="1"/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165" fontId="11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/>
    </xf>
    <xf numFmtId="0" fontId="8" fillId="0" borderId="5" xfId="0" applyFont="1" applyFill="1" applyBorder="1"/>
    <xf numFmtId="0" fontId="8" fillId="0" borderId="6" xfId="0" applyFont="1" applyFill="1" applyBorder="1" applyAlignment="1"/>
    <xf numFmtId="0" fontId="2" fillId="0" borderId="7" xfId="0" applyFont="1" applyFill="1" applyBorder="1" applyAlignment="1"/>
    <xf numFmtId="0" fontId="8" fillId="0" borderId="7" xfId="0" applyFont="1" applyFill="1" applyBorder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16" fillId="0" borderId="0" xfId="0" applyFont="1" applyBorder="1"/>
    <xf numFmtId="0" fontId="9" fillId="0" borderId="8" xfId="0" applyFont="1" applyBorder="1" applyAlignment="1">
      <alignment horizontal="center" vertical="center"/>
    </xf>
    <xf numFmtId="0" fontId="8" fillId="5" borderId="5" xfId="0" applyFont="1" applyFill="1" applyBorder="1"/>
    <xf numFmtId="0" fontId="8" fillId="5" borderId="5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center"/>
    </xf>
    <xf numFmtId="0" fontId="8" fillId="5" borderId="9" xfId="0" applyFont="1" applyFill="1" applyBorder="1"/>
    <xf numFmtId="0" fontId="8" fillId="5" borderId="9" xfId="0" applyFont="1" applyFill="1" applyBorder="1" applyAlignment="1"/>
    <xf numFmtId="0" fontId="8" fillId="5" borderId="5" xfId="0" applyFont="1" applyFill="1" applyBorder="1" applyAlignment="1"/>
    <xf numFmtId="0" fontId="8" fillId="5" borderId="7" xfId="0" applyFont="1" applyFill="1" applyBorder="1" applyAlignment="1"/>
    <xf numFmtId="0" fontId="8" fillId="5" borderId="10" xfId="0" applyFont="1" applyFill="1" applyBorder="1" applyAlignment="1"/>
    <xf numFmtId="0" fontId="8" fillId="5" borderId="9" xfId="0" applyFont="1" applyFill="1" applyBorder="1" applyAlignment="1">
      <alignment horizontal="center"/>
    </xf>
    <xf numFmtId="0" fontId="8" fillId="5" borderId="11" xfId="0" applyFont="1" applyFill="1" applyBorder="1" applyAlignment="1"/>
    <xf numFmtId="0" fontId="8" fillId="5" borderId="7" xfId="0" applyFont="1" applyFill="1" applyBorder="1" applyAlignment="1">
      <alignment horizontal="center"/>
    </xf>
    <xf numFmtId="0" fontId="12" fillId="5" borderId="5" xfId="0" applyFont="1" applyFill="1" applyBorder="1"/>
    <xf numFmtId="0" fontId="12" fillId="5" borderId="6" xfId="0" applyFont="1" applyFill="1" applyBorder="1"/>
    <xf numFmtId="0" fontId="8" fillId="0" borderId="0" xfId="0" applyFont="1" applyAlignment="1">
      <alignment vertical="center"/>
    </xf>
    <xf numFmtId="0" fontId="15" fillId="0" borderId="12" xfId="0" applyFont="1" applyBorder="1" applyAlignment="1">
      <alignment horizontal="left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49" fontId="6" fillId="0" borderId="13" xfId="3" applyNumberFormat="1" applyBorder="1"/>
    <xf numFmtId="0" fontId="27" fillId="0" borderId="14" xfId="3" applyFont="1" applyBorder="1" applyAlignment="1">
      <alignment horizontal="center" readingOrder="1"/>
    </xf>
    <xf numFmtId="49" fontId="17" fillId="0" borderId="14" xfId="3" applyNumberFormat="1" applyFont="1" applyBorder="1" applyAlignment="1">
      <alignment vertical="center"/>
    </xf>
    <xf numFmtId="168" fontId="18" fillId="0" borderId="14" xfId="3" applyNumberFormat="1" applyFont="1" applyBorder="1" applyAlignment="1">
      <alignment vertical="center" wrapText="1"/>
    </xf>
    <xf numFmtId="168" fontId="18" fillId="0" borderId="15" xfId="3" applyNumberFormat="1" applyFont="1" applyBorder="1" applyAlignment="1">
      <alignment vertical="center" wrapText="1"/>
    </xf>
    <xf numFmtId="0" fontId="6" fillId="0" borderId="0" xfId="3"/>
    <xf numFmtId="49" fontId="6" fillId="0" borderId="16" xfId="3" applyNumberFormat="1" applyBorder="1"/>
    <xf numFmtId="168" fontId="19" fillId="0" borderId="0" xfId="3" applyNumberFormat="1" applyFont="1" applyBorder="1" applyAlignment="1">
      <alignment vertical="center" wrapText="1"/>
    </xf>
    <xf numFmtId="0" fontId="6" fillId="0" borderId="0" xfId="3" applyBorder="1"/>
    <xf numFmtId="49" fontId="17" fillId="0" borderId="0" xfId="3" applyNumberFormat="1" applyFont="1" applyBorder="1" applyAlignment="1">
      <alignment vertical="center"/>
    </xf>
    <xf numFmtId="168" fontId="20" fillId="0" borderId="0" xfId="3" applyNumberFormat="1" applyFont="1" applyBorder="1" applyAlignment="1">
      <alignment vertical="center" wrapText="1"/>
    </xf>
    <xf numFmtId="168" fontId="18" fillId="0" borderId="17" xfId="3" applyNumberFormat="1" applyFont="1" applyBorder="1" applyAlignment="1">
      <alignment vertical="center" wrapText="1"/>
    </xf>
    <xf numFmtId="49" fontId="6" fillId="0" borderId="18" xfId="3" applyNumberFormat="1" applyBorder="1"/>
    <xf numFmtId="168" fontId="19" fillId="0" borderId="19" xfId="3" applyNumberFormat="1" applyFont="1" applyBorder="1" applyAlignment="1">
      <alignment vertical="center" wrapText="1"/>
    </xf>
    <xf numFmtId="49" fontId="17" fillId="0" borderId="19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 wrapText="1"/>
    </xf>
    <xf numFmtId="168" fontId="20" fillId="0" borderId="20" xfId="3" applyNumberFormat="1" applyFont="1" applyBorder="1" applyAlignment="1">
      <alignment vertical="center" wrapText="1"/>
    </xf>
    <xf numFmtId="49" fontId="9" fillId="0" borderId="13" xfId="3" applyNumberFormat="1" applyFont="1" applyFill="1" applyBorder="1" applyAlignment="1">
      <alignment horizontal="left"/>
    </xf>
    <xf numFmtId="49" fontId="9" fillId="0" borderId="15" xfId="3" applyNumberFormat="1" applyFont="1" applyFill="1" applyBorder="1" applyAlignment="1"/>
    <xf numFmtId="49" fontId="9" fillId="0" borderId="14" xfId="3" applyNumberFormat="1" applyFont="1" applyFill="1" applyBorder="1" applyAlignment="1"/>
    <xf numFmtId="49" fontId="9" fillId="0" borderId="16" xfId="3" applyNumberFormat="1" applyFont="1" applyFill="1" applyBorder="1" applyAlignment="1">
      <alignment horizontal="left"/>
    </xf>
    <xf numFmtId="49" fontId="9" fillId="0" borderId="0" xfId="3" applyNumberFormat="1" applyFont="1" applyFill="1" applyBorder="1" applyAlignment="1">
      <alignment horizontal="left"/>
    </xf>
    <xf numFmtId="49" fontId="9" fillId="0" borderId="17" xfId="3" applyNumberFormat="1" applyFont="1" applyFill="1" applyBorder="1" applyAlignment="1"/>
    <xf numFmtId="49" fontId="9" fillId="0" borderId="0" xfId="3" applyNumberFormat="1" applyFont="1" applyFill="1" applyBorder="1" applyAlignment="1"/>
    <xf numFmtId="49" fontId="9" fillId="0" borderId="19" xfId="3" applyNumberFormat="1" applyFont="1" applyFill="1" applyBorder="1" applyAlignment="1">
      <alignment horizontal="left"/>
    </xf>
    <xf numFmtId="49" fontId="9" fillId="0" borderId="20" xfId="3" applyNumberFormat="1" applyFont="1" applyFill="1" applyBorder="1" applyAlignment="1"/>
    <xf numFmtId="49" fontId="9" fillId="0" borderId="19" xfId="3" applyNumberFormat="1" applyFont="1" applyFill="1" applyBorder="1" applyAlignment="1"/>
    <xf numFmtId="168" fontId="15" fillId="2" borderId="21" xfId="3" applyNumberFormat="1" applyFont="1" applyFill="1" applyBorder="1" applyAlignment="1">
      <alignment horizontal="centerContinuous"/>
    </xf>
    <xf numFmtId="168" fontId="15" fillId="2" borderId="21" xfId="3" applyNumberFormat="1" applyFont="1" applyFill="1" applyBorder="1" applyAlignment="1">
      <alignment horizontal="center"/>
    </xf>
    <xf numFmtId="168" fontId="15" fillId="2" borderId="22" xfId="3" applyNumberFormat="1" applyFont="1" applyFill="1" applyBorder="1" applyAlignment="1">
      <alignment horizontal="center" vertical="center"/>
    </xf>
    <xf numFmtId="168" fontId="15" fillId="2" borderId="23" xfId="3" applyNumberFormat="1" applyFont="1" applyFill="1" applyBorder="1" applyAlignment="1">
      <alignment horizontal="center" vertical="center"/>
    </xf>
    <xf numFmtId="168" fontId="15" fillId="2" borderId="24" xfId="3" applyNumberFormat="1" applyFont="1" applyFill="1" applyBorder="1" applyAlignment="1">
      <alignment horizontal="center" vertical="center"/>
    </xf>
    <xf numFmtId="168" fontId="15" fillId="2" borderId="25" xfId="3" applyNumberFormat="1" applyFont="1" applyFill="1" applyBorder="1" applyAlignment="1">
      <alignment horizontal="center" vertical="center" wrapText="1"/>
    </xf>
    <xf numFmtId="169" fontId="23" fillId="5" borderId="26" xfId="13" applyNumberFormat="1" applyFont="1" applyFill="1" applyBorder="1" applyAlignment="1">
      <alignment vertical="center" wrapText="1"/>
    </xf>
    <xf numFmtId="169" fontId="23" fillId="5" borderId="27" xfId="13" applyNumberFormat="1" applyFont="1" applyFill="1" applyBorder="1" applyAlignment="1">
      <alignment vertical="center" wrapText="1"/>
    </xf>
    <xf numFmtId="1" fontId="23" fillId="5" borderId="28" xfId="13" applyNumberFormat="1" applyFont="1" applyFill="1" applyBorder="1" applyAlignment="1">
      <alignment horizontal="center" vertical="center"/>
    </xf>
    <xf numFmtId="168" fontId="23" fillId="5" borderId="6" xfId="3" applyNumberFormat="1" applyFont="1" applyFill="1" applyBorder="1" applyAlignment="1">
      <alignment horizontal="center" vertical="center"/>
    </xf>
    <xf numFmtId="4" fontId="23" fillId="5" borderId="29" xfId="13" applyNumberFormat="1" applyFont="1" applyFill="1" applyBorder="1" applyAlignment="1">
      <alignment horizontal="center" vertical="center"/>
    </xf>
    <xf numFmtId="1" fontId="23" fillId="5" borderId="30" xfId="13" applyNumberFormat="1" applyFont="1" applyFill="1" applyBorder="1" applyAlignment="1">
      <alignment horizontal="center" vertical="center"/>
    </xf>
    <xf numFmtId="164" fontId="23" fillId="5" borderId="7" xfId="13" applyFont="1" applyFill="1" applyBorder="1" applyAlignment="1">
      <alignment horizontal="center" vertical="center" wrapText="1"/>
    </xf>
    <xf numFmtId="168" fontId="23" fillId="5" borderId="31" xfId="3" applyNumberFormat="1" applyFont="1" applyFill="1" applyBorder="1" applyAlignment="1">
      <alignment horizontal="center" vertical="center"/>
    </xf>
    <xf numFmtId="169" fontId="23" fillId="5" borderId="31" xfId="13" applyNumberFormat="1" applyFont="1" applyFill="1" applyBorder="1" applyAlignment="1">
      <alignment vertical="center" wrapText="1"/>
    </xf>
    <xf numFmtId="4" fontId="23" fillId="5" borderId="32" xfId="13" applyNumberFormat="1" applyFont="1" applyFill="1" applyBorder="1" applyAlignment="1">
      <alignment horizontal="center" vertical="center"/>
    </xf>
    <xf numFmtId="168" fontId="23" fillId="5" borderId="33" xfId="3" applyNumberFormat="1" applyFont="1" applyFill="1" applyBorder="1" applyAlignment="1">
      <alignment horizontal="center" vertical="center"/>
    </xf>
    <xf numFmtId="2" fontId="23" fillId="5" borderId="34" xfId="3" applyNumberFormat="1" applyFont="1" applyFill="1" applyBorder="1" applyAlignment="1">
      <alignment horizontal="center" vertical="center"/>
    </xf>
    <xf numFmtId="4" fontId="23" fillId="5" borderId="35" xfId="13" applyNumberFormat="1" applyFont="1" applyFill="1" applyBorder="1" applyAlignment="1">
      <alignment horizontal="center" vertical="center"/>
    </xf>
    <xf numFmtId="169" fontId="23" fillId="5" borderId="36" xfId="13" applyNumberFormat="1" applyFont="1" applyFill="1" applyBorder="1" applyAlignment="1">
      <alignment horizontal="center" vertical="center"/>
    </xf>
    <xf numFmtId="168" fontId="23" fillId="5" borderId="37" xfId="3" applyNumberFormat="1" applyFont="1" applyFill="1" applyBorder="1" applyAlignment="1">
      <alignment horizontal="center" vertical="center"/>
    </xf>
    <xf numFmtId="164" fontId="24" fillId="5" borderId="38" xfId="13" applyNumberFormat="1" applyFont="1" applyFill="1" applyBorder="1" applyAlignment="1">
      <alignment vertical="center" wrapText="1"/>
    </xf>
    <xf numFmtId="169" fontId="24" fillId="5" borderId="24" xfId="13" applyNumberFormat="1" applyFont="1" applyFill="1" applyBorder="1" applyAlignment="1">
      <alignment vertical="center" wrapText="1"/>
    </xf>
    <xf numFmtId="4" fontId="6" fillId="0" borderId="0" xfId="3" applyNumberFormat="1" applyAlignment="1">
      <alignment horizontal="center"/>
    </xf>
    <xf numFmtId="4" fontId="6" fillId="0" borderId="0" xfId="3" applyNumberFormat="1"/>
    <xf numFmtId="0" fontId="2" fillId="0" borderId="0" xfId="3" applyFont="1" applyBorder="1"/>
    <xf numFmtId="170" fontId="2" fillId="0" borderId="0" xfId="3" applyNumberFormat="1" applyFont="1" applyBorder="1"/>
    <xf numFmtId="0" fontId="2" fillId="0" borderId="0" xfId="3" applyFont="1" applyBorder="1" applyAlignment="1">
      <alignment horizontal="center"/>
    </xf>
    <xf numFmtId="168" fontId="20" fillId="0" borderId="0" xfId="3" applyNumberFormat="1" applyFont="1" applyBorder="1" applyAlignment="1">
      <alignment horizontal="center" vertical="center" wrapText="1"/>
    </xf>
    <xf numFmtId="0" fontId="6" fillId="0" borderId="0" xfId="3" applyFont="1"/>
    <xf numFmtId="0" fontId="6" fillId="0" borderId="0" xfId="3" applyFont="1" applyAlignment="1">
      <alignment horizontal="center"/>
    </xf>
    <xf numFmtId="170" fontId="6" fillId="0" borderId="0" xfId="3" applyNumberFormat="1" applyFont="1"/>
    <xf numFmtId="167" fontId="6" fillId="0" borderId="0" xfId="3" applyNumberFormat="1" applyFont="1"/>
    <xf numFmtId="169" fontId="23" fillId="5" borderId="39" xfId="11" applyNumberFormat="1" applyFont="1" applyFill="1" applyBorder="1" applyAlignment="1">
      <alignment horizontal="center" vertical="center" wrapText="1"/>
    </xf>
    <xf numFmtId="169" fontId="23" fillId="5" borderId="26" xfId="11" applyNumberFormat="1" applyFont="1" applyFill="1" applyBorder="1" applyAlignment="1">
      <alignment vertical="center" wrapText="1"/>
    </xf>
    <xf numFmtId="169" fontId="23" fillId="5" borderId="27" xfId="11" applyNumberFormat="1" applyFont="1" applyFill="1" applyBorder="1" applyAlignment="1">
      <alignment vertical="center" wrapText="1"/>
    </xf>
    <xf numFmtId="1" fontId="23" fillId="5" borderId="28" xfId="11" applyNumberFormat="1" applyFont="1" applyFill="1" applyBorder="1" applyAlignment="1">
      <alignment horizontal="center" vertical="center"/>
    </xf>
    <xf numFmtId="4" fontId="23" fillId="5" borderId="29" xfId="11" applyNumberFormat="1" applyFont="1" applyFill="1" applyBorder="1" applyAlignment="1">
      <alignment horizontal="center" vertical="center"/>
    </xf>
    <xf numFmtId="1" fontId="23" fillId="5" borderId="30" xfId="11" applyNumberFormat="1" applyFont="1" applyFill="1" applyBorder="1" applyAlignment="1">
      <alignment horizontal="center" vertical="center"/>
    </xf>
    <xf numFmtId="4" fontId="23" fillId="5" borderId="6" xfId="11" applyNumberFormat="1" applyFont="1" applyFill="1" applyBorder="1" applyAlignment="1">
      <alignment horizontal="center" vertical="center"/>
    </xf>
    <xf numFmtId="169" fontId="23" fillId="5" borderId="31" xfId="11" applyNumberFormat="1" applyFont="1" applyFill="1" applyBorder="1" applyAlignment="1">
      <alignment vertical="center" wrapText="1"/>
    </xf>
    <xf numFmtId="4" fontId="23" fillId="5" borderId="32" xfId="11" applyNumberFormat="1" applyFont="1" applyFill="1" applyBorder="1" applyAlignment="1">
      <alignment horizontal="center" vertical="center"/>
    </xf>
    <xf numFmtId="4" fontId="23" fillId="5" borderId="40" xfId="11" applyNumberFormat="1" applyFont="1" applyFill="1" applyBorder="1" applyAlignment="1">
      <alignment horizontal="center" vertical="center"/>
    </xf>
    <xf numFmtId="168" fontId="23" fillId="5" borderId="32" xfId="3" applyNumberFormat="1" applyFont="1" applyFill="1" applyBorder="1" applyAlignment="1">
      <alignment horizontal="center" vertical="center"/>
    </xf>
    <xf numFmtId="168" fontId="23" fillId="5" borderId="29" xfId="3" applyNumberFormat="1" applyFont="1" applyFill="1" applyBorder="1" applyAlignment="1">
      <alignment horizontal="center" vertical="center"/>
    </xf>
    <xf numFmtId="2" fontId="23" fillId="5" borderId="35" xfId="3" applyNumberFormat="1" applyFont="1" applyFill="1" applyBorder="1" applyAlignment="1">
      <alignment horizontal="center" vertical="center"/>
    </xf>
    <xf numFmtId="4" fontId="23" fillId="5" borderId="35" xfId="11" applyNumberFormat="1" applyFont="1" applyFill="1" applyBorder="1" applyAlignment="1">
      <alignment horizontal="center" vertical="center"/>
    </xf>
    <xf numFmtId="4" fontId="23" fillId="5" borderId="41" xfId="11" applyNumberFormat="1" applyFont="1" applyFill="1" applyBorder="1" applyAlignment="1">
      <alignment horizontal="center" vertical="center"/>
    </xf>
    <xf numFmtId="169" fontId="23" fillId="5" borderId="36" xfId="11" applyNumberFormat="1" applyFont="1" applyFill="1" applyBorder="1" applyAlignment="1">
      <alignment horizontal="center" vertical="center"/>
    </xf>
    <xf numFmtId="169" fontId="24" fillId="5" borderId="23" xfId="11" applyNumberFormat="1" applyFont="1" applyFill="1" applyBorder="1" applyAlignment="1">
      <alignment horizontal="center" vertical="center" wrapText="1"/>
    </xf>
    <xf numFmtId="164" fontId="24" fillId="5" borderId="38" xfId="11" applyNumberFormat="1" applyFont="1" applyFill="1" applyBorder="1" applyAlignment="1">
      <alignment vertical="center" wrapText="1"/>
    </xf>
    <xf numFmtId="169" fontId="24" fillId="5" borderId="24" xfId="11" applyNumberFormat="1" applyFont="1" applyFill="1" applyBorder="1" applyAlignment="1">
      <alignment vertical="center" wrapText="1"/>
    </xf>
    <xf numFmtId="0" fontId="8" fillId="0" borderId="42" xfId="0" applyFont="1" applyFill="1" applyBorder="1"/>
    <xf numFmtId="0" fontId="8" fillId="0" borderId="40" xfId="0" applyFont="1" applyFill="1" applyBorder="1" applyAlignment="1"/>
    <xf numFmtId="0" fontId="2" fillId="0" borderId="43" xfId="0" applyFont="1" applyFill="1" applyBorder="1" applyAlignment="1"/>
    <xf numFmtId="0" fontId="8" fillId="0" borderId="43" xfId="0" applyFont="1" applyFill="1" applyBorder="1" applyAlignment="1">
      <alignment horizontal="center"/>
    </xf>
    <xf numFmtId="0" fontId="8" fillId="5" borderId="42" xfId="0" applyFont="1" applyFill="1" applyBorder="1"/>
    <xf numFmtId="0" fontId="8" fillId="5" borderId="42" xfId="0" applyFont="1" applyFill="1" applyBorder="1" applyAlignment="1">
      <alignment horizontal="left"/>
    </xf>
    <xf numFmtId="0" fontId="8" fillId="5" borderId="42" xfId="0" applyFont="1" applyFill="1" applyBorder="1" applyAlignment="1">
      <alignment horizontal="center"/>
    </xf>
    <xf numFmtId="0" fontId="8" fillId="5" borderId="42" xfId="0" applyFont="1" applyFill="1" applyBorder="1" applyAlignment="1"/>
    <xf numFmtId="0" fontId="8" fillId="5" borderId="43" xfId="0" applyFont="1" applyFill="1" applyBorder="1" applyAlignment="1"/>
    <xf numFmtId="0" fontId="8" fillId="5" borderId="44" xfId="0" applyFont="1" applyFill="1" applyBorder="1" applyAlignment="1"/>
    <xf numFmtId="0" fontId="2" fillId="5" borderId="43" xfId="0" applyFont="1" applyFill="1" applyBorder="1" applyAlignment="1"/>
    <xf numFmtId="49" fontId="8" fillId="5" borderId="5" xfId="0" applyNumberFormat="1" applyFont="1" applyFill="1" applyBorder="1"/>
    <xf numFmtId="49" fontId="8" fillId="5" borderId="11" xfId="0" applyNumberFormat="1" applyFont="1" applyFill="1" applyBorder="1" applyAlignment="1"/>
    <xf numFmtId="0" fontId="14" fillId="3" borderId="45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vertical="center"/>
    </xf>
    <xf numFmtId="0" fontId="8" fillId="0" borderId="47" xfId="0" applyFont="1" applyFill="1" applyBorder="1"/>
    <xf numFmtId="0" fontId="8" fillId="0" borderId="48" xfId="0" applyFont="1" applyFill="1" applyBorder="1" applyAlignment="1"/>
    <xf numFmtId="0" fontId="2" fillId="0" borderId="49" xfId="0" applyFont="1" applyFill="1" applyBorder="1" applyAlignment="1"/>
    <xf numFmtId="0" fontId="8" fillId="0" borderId="49" xfId="0" applyFont="1" applyFill="1" applyBorder="1" applyAlignment="1">
      <alignment horizontal="center"/>
    </xf>
    <xf numFmtId="0" fontId="2" fillId="3" borderId="50" xfId="0" applyFont="1" applyFill="1" applyBorder="1" applyAlignment="1">
      <alignment horizontal="center" vertical="center"/>
    </xf>
    <xf numFmtId="0" fontId="14" fillId="3" borderId="51" xfId="0" applyFont="1" applyFill="1" applyBorder="1" applyAlignment="1">
      <alignment horizontal="center" vertical="center"/>
    </xf>
    <xf numFmtId="0" fontId="14" fillId="3" borderId="51" xfId="0" applyFont="1" applyFill="1" applyBorder="1" applyAlignment="1">
      <alignment vertical="center"/>
    </xf>
    <xf numFmtId="0" fontId="9" fillId="3" borderId="51" xfId="0" applyFont="1" applyFill="1" applyBorder="1" applyAlignment="1">
      <alignment vertical="center"/>
    </xf>
    <xf numFmtId="0" fontId="8" fillId="5" borderId="47" xfId="0" applyFont="1" applyFill="1" applyBorder="1"/>
    <xf numFmtId="0" fontId="8" fillId="5" borderId="47" xfId="0" applyFont="1" applyFill="1" applyBorder="1" applyAlignment="1"/>
    <xf numFmtId="0" fontId="8" fillId="5" borderId="47" xfId="0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 vertical="center"/>
    </xf>
    <xf numFmtId="0" fontId="8" fillId="5" borderId="49" xfId="0" applyFont="1" applyFill="1" applyBorder="1" applyAlignment="1"/>
    <xf numFmtId="0" fontId="14" fillId="3" borderId="50" xfId="0" applyFont="1" applyFill="1" applyBorder="1" applyAlignment="1">
      <alignment horizontal="center" vertical="center"/>
    </xf>
    <xf numFmtId="0" fontId="2" fillId="3" borderId="51" xfId="0" applyFont="1" applyFill="1" applyBorder="1"/>
    <xf numFmtId="0" fontId="2" fillId="3" borderId="50" xfId="0" applyFont="1" applyFill="1" applyBorder="1" applyAlignment="1"/>
    <xf numFmtId="0" fontId="2" fillId="3" borderId="51" xfId="0" applyFont="1" applyFill="1" applyBorder="1" applyAlignment="1">
      <alignment horizontal="center"/>
    </xf>
    <xf numFmtId="0" fontId="2" fillId="3" borderId="50" xfId="0" applyFont="1" applyFill="1" applyBorder="1"/>
    <xf numFmtId="0" fontId="16" fillId="0" borderId="52" xfId="0" applyFont="1" applyBorder="1"/>
    <xf numFmtId="0" fontId="8" fillId="5" borderId="7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horizontal="left" vertical="center"/>
    </xf>
    <xf numFmtId="0" fontId="8" fillId="5" borderId="43" xfId="0" applyFont="1" applyFill="1" applyBorder="1" applyAlignment="1">
      <alignment vertical="center"/>
    </xf>
    <xf numFmtId="0" fontId="8" fillId="5" borderId="5" xfId="0" applyFont="1" applyFill="1" applyBorder="1" applyAlignment="1">
      <alignment horizontal="left" vertical="center"/>
    </xf>
    <xf numFmtId="0" fontId="13" fillId="3" borderId="51" xfId="0" applyFont="1" applyFill="1" applyBorder="1" applyAlignment="1">
      <alignment horizontal="center" vertical="center"/>
    </xf>
    <xf numFmtId="0" fontId="8" fillId="5" borderId="53" xfId="0" applyFont="1" applyFill="1" applyBorder="1" applyAlignment="1">
      <alignment horizontal="left" vertical="center"/>
    </xf>
    <xf numFmtId="0" fontId="8" fillId="5" borderId="54" xfId="0" applyFont="1" applyFill="1" applyBorder="1" applyAlignment="1">
      <alignment horizontal="center" vertical="center"/>
    </xf>
    <xf numFmtId="0" fontId="8" fillId="5" borderId="55" xfId="0" applyFont="1" applyFill="1" applyBorder="1" applyAlignment="1">
      <alignment horizontal="center" vertical="center"/>
    </xf>
    <xf numFmtId="0" fontId="8" fillId="5" borderId="56" xfId="0" applyFont="1" applyFill="1" applyBorder="1" applyAlignment="1">
      <alignment horizontal="center"/>
    </xf>
    <xf numFmtId="0" fontId="15" fillId="0" borderId="57" xfId="0" applyFont="1" applyBorder="1" applyAlignment="1">
      <alignment horizontal="left"/>
    </xf>
    <xf numFmtId="0" fontId="6" fillId="0" borderId="16" xfId="3" applyFont="1" applyBorder="1"/>
    <xf numFmtId="4" fontId="23" fillId="5" borderId="34" xfId="11" applyNumberFormat="1" applyFont="1" applyFill="1" applyBorder="1" applyAlignment="1">
      <alignment horizontal="center" vertical="center"/>
    </xf>
    <xf numFmtId="0" fontId="6" fillId="0" borderId="58" xfId="3" applyBorder="1"/>
    <xf numFmtId="164" fontId="23" fillId="5" borderId="59" xfId="11" applyFont="1" applyFill="1" applyBorder="1" applyAlignment="1">
      <alignment horizontal="center" vertical="center"/>
    </xf>
    <xf numFmtId="0" fontId="6" fillId="0" borderId="60" xfId="3" applyBorder="1"/>
    <xf numFmtId="4" fontId="23" fillId="5" borderId="61" xfId="11" applyNumberFormat="1" applyFont="1" applyFill="1" applyBorder="1" applyAlignment="1">
      <alignment horizontal="center" vertical="center"/>
    </xf>
    <xf numFmtId="164" fontId="23" fillId="5" borderId="62" xfId="11" applyFont="1" applyFill="1" applyBorder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2" fontId="8" fillId="5" borderId="9" xfId="0" applyNumberFormat="1" applyFont="1" applyFill="1" applyBorder="1" applyAlignment="1">
      <alignment horizontal="center"/>
    </xf>
    <xf numFmtId="0" fontId="14" fillId="3" borderId="63" xfId="0" applyFont="1" applyFill="1" applyBorder="1" applyAlignment="1">
      <alignment horizontal="center" vertical="center"/>
    </xf>
    <xf numFmtId="0" fontId="14" fillId="3" borderId="63" xfId="0" applyFont="1" applyFill="1" applyBorder="1" applyAlignment="1">
      <alignment vertical="center"/>
    </xf>
    <xf numFmtId="0" fontId="9" fillId="3" borderId="47" xfId="0" applyFont="1" applyFill="1" applyBorder="1" applyAlignment="1">
      <alignment vertical="center"/>
    </xf>
    <xf numFmtId="0" fontId="2" fillId="3" borderId="63" xfId="0" applyFont="1" applyFill="1" applyBorder="1" applyAlignment="1">
      <alignment horizontal="center" vertical="center"/>
    </xf>
    <xf numFmtId="0" fontId="8" fillId="5" borderId="6" xfId="0" applyFont="1" applyFill="1" applyBorder="1"/>
    <xf numFmtId="0" fontId="8" fillId="0" borderId="44" xfId="0" applyFont="1" applyFill="1" applyBorder="1" applyAlignment="1"/>
    <xf numFmtId="0" fontId="8" fillId="0" borderId="5" xfId="0" applyFont="1" applyFill="1" applyBorder="1" applyAlignment="1">
      <alignment horizontal="center"/>
    </xf>
    <xf numFmtId="0" fontId="8" fillId="0" borderId="11" xfId="0" applyFont="1" applyFill="1" applyBorder="1" applyAlignment="1"/>
    <xf numFmtId="165" fontId="8" fillId="5" borderId="7" xfId="0" applyNumberFormat="1" applyFont="1" applyFill="1" applyBorder="1" applyAlignment="1"/>
    <xf numFmtId="164" fontId="8" fillId="0" borderId="0" xfId="0" applyNumberFormat="1" applyFont="1" applyAlignment="1">
      <alignment horizontal="center" vertical="center"/>
    </xf>
    <xf numFmtId="0" fontId="8" fillId="5" borderId="56" xfId="0" applyFont="1" applyFill="1" applyBorder="1"/>
    <xf numFmtId="0" fontId="8" fillId="5" borderId="56" xfId="0" applyFont="1" applyFill="1" applyBorder="1" applyAlignment="1"/>
    <xf numFmtId="0" fontId="31" fillId="7" borderId="30" xfId="0" applyFont="1" applyFill="1" applyBorder="1" applyAlignment="1">
      <alignment horizontal="center" vertical="center" wrapText="1"/>
    </xf>
    <xf numFmtId="0" fontId="31" fillId="0" borderId="30" xfId="0" applyFont="1" applyBorder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0" fontId="31" fillId="0" borderId="29" xfId="0" applyFont="1" applyBorder="1" applyAlignment="1">
      <alignment horizontal="left" vertical="center"/>
    </xf>
    <xf numFmtId="0" fontId="31" fillId="0" borderId="33" xfId="0" applyFont="1" applyBorder="1" applyAlignment="1">
      <alignment horizontal="center" vertical="center"/>
    </xf>
    <xf numFmtId="167" fontId="31" fillId="0" borderId="33" xfId="11" applyNumberFormat="1" applyFont="1" applyBorder="1" applyAlignment="1">
      <alignment vertical="center" wrapText="1"/>
    </xf>
    <xf numFmtId="4" fontId="31" fillId="0" borderId="33" xfId="11" applyNumberFormat="1" applyFont="1" applyBorder="1" applyAlignment="1">
      <alignment vertical="center"/>
    </xf>
    <xf numFmtId="0" fontId="31" fillId="7" borderId="30" xfId="0" applyFont="1" applyFill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4" fontId="29" fillId="8" borderId="2" xfId="0" applyNumberFormat="1" applyFont="1" applyFill="1" applyBorder="1"/>
    <xf numFmtId="0" fontId="33" fillId="0" borderId="64" xfId="0" applyFont="1" applyBorder="1" applyAlignment="1">
      <alignment horizontal="center"/>
    </xf>
    <xf numFmtId="0" fontId="33" fillId="0" borderId="65" xfId="0" applyFont="1" applyBorder="1"/>
    <xf numFmtId="171" fontId="33" fillId="0" borderId="65" xfId="0" applyNumberFormat="1" applyFont="1" applyBorder="1" applyAlignment="1">
      <alignment vertical="center"/>
    </xf>
    <xf numFmtId="0" fontId="33" fillId="0" borderId="66" xfId="0" applyFont="1" applyBorder="1"/>
    <xf numFmtId="0" fontId="33" fillId="0" borderId="67" xfId="0" applyFont="1" applyBorder="1" applyAlignment="1">
      <alignment wrapText="1"/>
    </xf>
    <xf numFmtId="0" fontId="33" fillId="0" borderId="68" xfId="0" applyFont="1" applyBorder="1" applyAlignment="1">
      <alignment wrapText="1"/>
    </xf>
    <xf numFmtId="0" fontId="33" fillId="0" borderId="69" xfId="0" applyFont="1" applyBorder="1" applyAlignment="1">
      <alignment wrapText="1"/>
    </xf>
    <xf numFmtId="0" fontId="31" fillId="0" borderId="0" xfId="0" applyFont="1" applyAlignment="1">
      <alignment horizontal="center"/>
    </xf>
    <xf numFmtId="0" fontId="31" fillId="0" borderId="0" xfId="0" applyFont="1"/>
    <xf numFmtId="171" fontId="31" fillId="0" borderId="0" xfId="0" applyNumberFormat="1" applyFont="1" applyAlignment="1">
      <alignment vertical="center"/>
    </xf>
    <xf numFmtId="0" fontId="33" fillId="0" borderId="0" xfId="0" applyFont="1"/>
    <xf numFmtId="2" fontId="31" fillId="0" borderId="33" xfId="11" applyNumberFormat="1" applyFont="1" applyBorder="1" applyAlignment="1">
      <alignment vertical="center"/>
    </xf>
    <xf numFmtId="2" fontId="31" fillId="0" borderId="33" xfId="11" applyNumberFormat="1" applyFont="1" applyBorder="1" applyAlignment="1">
      <alignment horizontal="center" vertical="center"/>
    </xf>
    <xf numFmtId="0" fontId="31" fillId="0" borderId="33" xfId="11" applyNumberFormat="1" applyFont="1" applyBorder="1" applyAlignment="1">
      <alignment horizontal="center" vertical="center"/>
    </xf>
    <xf numFmtId="0" fontId="31" fillId="0" borderId="33" xfId="11" applyNumberFormat="1" applyFont="1" applyBorder="1" applyAlignment="1">
      <alignment vertical="center"/>
    </xf>
    <xf numFmtId="0" fontId="31" fillId="7" borderId="70" xfId="0" applyFont="1" applyFill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/>
    </xf>
    <xf numFmtId="167" fontId="31" fillId="0" borderId="71" xfId="11" applyNumberFormat="1" applyFont="1" applyBorder="1" applyAlignment="1">
      <alignment vertical="center" wrapText="1"/>
    </xf>
    <xf numFmtId="0" fontId="31" fillId="0" borderId="71" xfId="11" applyNumberFormat="1" applyFont="1" applyBorder="1" applyAlignment="1">
      <alignment horizontal="center" vertical="center"/>
    </xf>
    <xf numFmtId="4" fontId="29" fillId="8" borderId="2" xfId="0" applyNumberFormat="1" applyFont="1" applyFill="1" applyBorder="1" applyAlignment="1">
      <alignment horizontal="right" vertical="center"/>
    </xf>
    <xf numFmtId="167" fontId="31" fillId="0" borderId="33" xfId="11" applyNumberFormat="1" applyFont="1" applyBorder="1" applyAlignment="1">
      <alignment horizontal="center" vertical="center" wrapText="1"/>
    </xf>
    <xf numFmtId="4" fontId="31" fillId="0" borderId="33" xfId="11" applyNumberFormat="1" applyFont="1" applyBorder="1" applyAlignment="1">
      <alignment vertical="center" wrapText="1"/>
    </xf>
    <xf numFmtId="3" fontId="31" fillId="0" borderId="33" xfId="11" applyNumberFormat="1" applyFont="1" applyBorder="1" applyAlignment="1">
      <alignment horizontal="center" vertical="center" wrapText="1"/>
    </xf>
    <xf numFmtId="4" fontId="32" fillId="6" borderId="2" xfId="0" applyNumberFormat="1" applyFont="1" applyFill="1" applyBorder="1" applyAlignment="1">
      <alignment vertical="center"/>
    </xf>
    <xf numFmtId="4" fontId="32" fillId="8" borderId="2" xfId="0" applyNumberFormat="1" applyFont="1" applyFill="1" applyBorder="1" applyAlignment="1">
      <alignment vertical="center"/>
    </xf>
    <xf numFmtId="4" fontId="32" fillId="8" borderId="2" xfId="0" applyNumberFormat="1" applyFont="1" applyFill="1" applyBorder="1" applyAlignment="1"/>
    <xf numFmtId="0" fontId="33" fillId="0" borderId="67" xfId="0" applyFont="1" applyBorder="1" applyAlignment="1">
      <alignment horizontal="center"/>
    </xf>
    <xf numFmtId="0" fontId="33" fillId="0" borderId="68" xfId="0" applyFont="1" applyBorder="1"/>
    <xf numFmtId="171" fontId="33" fillId="0" borderId="68" xfId="0" applyNumberFormat="1" applyFont="1" applyBorder="1" applyAlignment="1">
      <alignment vertical="center"/>
    </xf>
    <xf numFmtId="0" fontId="33" fillId="0" borderId="69" xfId="0" applyFont="1" applyBorder="1"/>
    <xf numFmtId="0" fontId="31" fillId="0" borderId="33" xfId="3" applyFont="1" applyBorder="1" applyAlignment="1">
      <alignment horizontal="center" vertical="center" wrapText="1"/>
    </xf>
    <xf numFmtId="0" fontId="31" fillId="0" borderId="33" xfId="3" applyNumberFormat="1" applyFont="1" applyBorder="1" applyAlignment="1">
      <alignment horizontal="center" vertical="center" wrapText="1"/>
    </xf>
    <xf numFmtId="166" fontId="31" fillId="0" borderId="33" xfId="3" applyNumberFormat="1" applyFont="1" applyBorder="1" applyAlignment="1">
      <alignment horizontal="center" vertical="center" wrapText="1"/>
    </xf>
    <xf numFmtId="0" fontId="31" fillId="0" borderId="33" xfId="3" applyFont="1" applyBorder="1" applyAlignment="1">
      <alignment horizontal="center" vertical="center"/>
    </xf>
    <xf numFmtId="173" fontId="31" fillId="0" borderId="33" xfId="13" applyNumberFormat="1" applyFont="1" applyBorder="1" applyAlignment="1">
      <alignment vertical="center"/>
    </xf>
    <xf numFmtId="4" fontId="31" fillId="0" borderId="33" xfId="3" applyNumberFormat="1" applyFont="1" applyBorder="1" applyAlignment="1">
      <alignment vertical="center"/>
    </xf>
    <xf numFmtId="39" fontId="31" fillId="0" borderId="33" xfId="13" applyNumberFormat="1" applyFont="1" applyBorder="1" applyAlignment="1">
      <alignment vertical="center"/>
    </xf>
    <xf numFmtId="4" fontId="31" fillId="0" borderId="71" xfId="11" applyNumberFormat="1" applyFont="1" applyBorder="1" applyAlignment="1">
      <alignment vertical="center"/>
    </xf>
    <xf numFmtId="4" fontId="32" fillId="8" borderId="4" xfId="0" applyNumberFormat="1" applyFont="1" applyFill="1" applyBorder="1" applyAlignment="1"/>
    <xf numFmtId="49" fontId="8" fillId="8" borderId="2" xfId="0" applyNumberFormat="1" applyFont="1" applyFill="1" applyBorder="1" applyAlignment="1">
      <alignment horizontal="center" vertical="center" wrapText="1"/>
    </xf>
    <xf numFmtId="49" fontId="31" fillId="0" borderId="33" xfId="3" applyNumberFormat="1" applyFont="1" applyBorder="1" applyAlignment="1">
      <alignment horizontal="center" vertical="center"/>
    </xf>
    <xf numFmtId="3" fontId="31" fillId="0" borderId="33" xfId="3" applyNumberFormat="1" applyFont="1" applyFill="1" applyBorder="1" applyAlignment="1">
      <alignment horizontal="center" vertical="center"/>
    </xf>
    <xf numFmtId="167" fontId="31" fillId="0" borderId="33" xfId="3" applyNumberFormat="1" applyFont="1" applyBorder="1" applyAlignment="1">
      <alignment vertical="center"/>
    </xf>
    <xf numFmtId="4" fontId="31" fillId="7" borderId="30" xfId="3" applyNumberFormat="1" applyFont="1" applyFill="1" applyBorder="1" applyAlignment="1">
      <alignment vertical="center"/>
    </xf>
    <xf numFmtId="167" fontId="31" fillId="0" borderId="33" xfId="3" applyNumberFormat="1" applyFont="1" applyFill="1" applyBorder="1" applyAlignment="1">
      <alignment vertical="center"/>
    </xf>
    <xf numFmtId="0" fontId="31" fillId="0" borderId="36" xfId="3" applyFont="1" applyBorder="1" applyAlignment="1">
      <alignment horizontal="left" vertical="center" wrapText="1"/>
    </xf>
    <xf numFmtId="0" fontId="31" fillId="0" borderId="36" xfId="3" applyFont="1" applyBorder="1" applyAlignment="1">
      <alignment vertical="center"/>
    </xf>
    <xf numFmtId="0" fontId="31" fillId="0" borderId="41" xfId="3" applyFont="1" applyBorder="1" applyAlignment="1">
      <alignment vertical="center"/>
    </xf>
    <xf numFmtId="0" fontId="31" fillId="0" borderId="35" xfId="3" applyFont="1" applyBorder="1" applyAlignment="1">
      <alignment vertical="center"/>
    </xf>
    <xf numFmtId="0" fontId="31" fillId="0" borderId="34" xfId="3" applyFont="1" applyBorder="1" applyAlignment="1">
      <alignment horizontal="center" vertical="center" wrapText="1"/>
    </xf>
    <xf numFmtId="3" fontId="31" fillId="0" borderId="34" xfId="3" applyNumberFormat="1" applyFont="1" applyFill="1" applyBorder="1" applyAlignment="1">
      <alignment horizontal="center" vertical="center"/>
    </xf>
    <xf numFmtId="167" fontId="31" fillId="0" borderId="34" xfId="3" applyNumberFormat="1" applyFont="1" applyBorder="1" applyAlignment="1">
      <alignment vertical="center"/>
    </xf>
    <xf numFmtId="173" fontId="31" fillId="0" borderId="34" xfId="13" applyNumberFormat="1" applyFont="1" applyBorder="1" applyAlignment="1">
      <alignment vertical="center"/>
    </xf>
    <xf numFmtId="4" fontId="31" fillId="7" borderId="36" xfId="3" applyNumberFormat="1" applyFont="1" applyFill="1" applyBorder="1" applyAlignment="1">
      <alignment vertical="center"/>
    </xf>
    <xf numFmtId="0" fontId="15" fillId="0" borderId="72" xfId="0" applyFont="1" applyBorder="1" applyAlignment="1">
      <alignment horizontal="left"/>
    </xf>
    <xf numFmtId="0" fontId="16" fillId="0" borderId="73" xfId="0" applyFont="1" applyBorder="1"/>
    <xf numFmtId="0" fontId="16" fillId="0" borderId="74" xfId="0" applyFont="1" applyBorder="1"/>
    <xf numFmtId="0" fontId="15" fillId="0" borderId="75" xfId="0" applyFont="1" applyBorder="1" applyAlignment="1">
      <alignment horizontal="left"/>
    </xf>
    <xf numFmtId="0" fontId="16" fillId="0" borderId="76" xfId="0" applyFont="1" applyBorder="1"/>
    <xf numFmtId="0" fontId="15" fillId="0" borderId="77" xfId="0" applyFont="1" applyBorder="1" applyAlignment="1">
      <alignment horizontal="left"/>
    </xf>
    <xf numFmtId="0" fontId="16" fillId="0" borderId="78" xfId="0" applyFont="1" applyBorder="1"/>
    <xf numFmtId="4" fontId="9" fillId="0" borderId="8" xfId="0" applyNumberFormat="1" applyFont="1" applyBorder="1" applyAlignment="1">
      <alignment horizontal="center" vertical="center"/>
    </xf>
    <xf numFmtId="0" fontId="14" fillId="3" borderId="79" xfId="0" applyFont="1" applyFill="1" applyBorder="1" applyAlignment="1">
      <alignment horizontal="center" vertical="center"/>
    </xf>
    <xf numFmtId="0" fontId="14" fillId="3" borderId="80" xfId="0" applyFont="1" applyFill="1" applyBorder="1" applyAlignment="1">
      <alignment vertical="center"/>
    </xf>
    <xf numFmtId="0" fontId="8" fillId="0" borderId="81" xfId="0" applyFont="1" applyFill="1" applyBorder="1" applyAlignment="1">
      <alignment horizontal="center" vertical="center"/>
    </xf>
    <xf numFmtId="164" fontId="8" fillId="0" borderId="82" xfId="14" applyFont="1" applyFill="1" applyBorder="1" applyAlignment="1">
      <alignment horizontal="right"/>
    </xf>
    <xf numFmtId="0" fontId="8" fillId="0" borderId="83" xfId="0" applyFont="1" applyFill="1" applyBorder="1" applyAlignment="1">
      <alignment horizontal="center" vertical="center"/>
    </xf>
    <xf numFmtId="164" fontId="8" fillId="0" borderId="84" xfId="14" applyFont="1" applyFill="1" applyBorder="1" applyAlignment="1">
      <alignment horizontal="right"/>
    </xf>
    <xf numFmtId="164" fontId="8" fillId="0" borderId="85" xfId="14" applyFont="1" applyFill="1" applyBorder="1" applyAlignment="1">
      <alignment horizontal="right"/>
    </xf>
    <xf numFmtId="164" fontId="8" fillId="0" borderId="86" xfId="14" applyFont="1" applyFill="1" applyBorder="1" applyAlignment="1">
      <alignment horizontal="right"/>
    </xf>
    <xf numFmtId="0" fontId="14" fillId="3" borderId="87" xfId="0" applyFont="1" applyFill="1" applyBorder="1" applyAlignment="1">
      <alignment horizontal="center" vertical="center"/>
    </xf>
    <xf numFmtId="0" fontId="9" fillId="3" borderId="88" xfId="0" applyFont="1" applyFill="1" applyBorder="1" applyAlignment="1">
      <alignment vertical="center"/>
    </xf>
    <xf numFmtId="171" fontId="8" fillId="0" borderId="82" xfId="14" applyNumberFormat="1" applyFont="1" applyFill="1" applyBorder="1" applyAlignment="1">
      <alignment horizontal="right"/>
    </xf>
    <xf numFmtId="171" fontId="8" fillId="0" borderId="84" xfId="14" applyNumberFormat="1" applyFont="1" applyFill="1" applyBorder="1" applyAlignment="1">
      <alignment horizontal="right"/>
    </xf>
    <xf numFmtId="0" fontId="14" fillId="3" borderId="89" xfId="0" applyFont="1" applyFill="1" applyBorder="1" applyAlignment="1">
      <alignment horizontal="center" vertical="center"/>
    </xf>
    <xf numFmtId="0" fontId="9" fillId="3" borderId="86" xfId="0" applyFont="1" applyFill="1" applyBorder="1" applyAlignment="1">
      <alignment vertical="center"/>
    </xf>
    <xf numFmtId="0" fontId="8" fillId="5" borderId="81" xfId="0" applyFont="1" applyFill="1" applyBorder="1" applyAlignment="1">
      <alignment horizontal="center" vertical="center"/>
    </xf>
    <xf numFmtId="0" fontId="8" fillId="5" borderId="83" xfId="0" applyFont="1" applyFill="1" applyBorder="1" applyAlignment="1">
      <alignment horizontal="center" vertical="center"/>
    </xf>
    <xf numFmtId="164" fontId="8" fillId="0" borderId="84" xfId="14" applyFont="1" applyFill="1" applyBorder="1" applyAlignment="1">
      <alignment horizontal="center" vertical="center"/>
    </xf>
    <xf numFmtId="164" fontId="8" fillId="0" borderId="90" xfId="14" applyFont="1" applyFill="1" applyBorder="1" applyAlignment="1">
      <alignment horizontal="center" vertical="center"/>
    </xf>
    <xf numFmtId="2" fontId="2" fillId="3" borderId="88" xfId="0" applyNumberFormat="1" applyFont="1" applyFill="1" applyBorder="1" applyAlignment="1">
      <alignment horizontal="right"/>
    </xf>
    <xf numFmtId="0" fontId="14" fillId="3" borderId="91" xfId="0" applyFont="1" applyFill="1" applyBorder="1" applyAlignment="1">
      <alignment horizontal="center" vertical="center"/>
    </xf>
    <xf numFmtId="0" fontId="14" fillId="3" borderId="88" xfId="0" applyFont="1" applyFill="1" applyBorder="1" applyAlignment="1">
      <alignment vertical="center"/>
    </xf>
    <xf numFmtId="0" fontId="8" fillId="5" borderId="92" xfId="0" applyFont="1" applyFill="1" applyBorder="1" applyAlignment="1">
      <alignment horizontal="center" vertical="center"/>
    </xf>
    <xf numFmtId="166" fontId="13" fillId="3" borderId="91" xfId="0" applyNumberFormat="1" applyFont="1" applyFill="1" applyBorder="1" applyAlignment="1">
      <alignment horizontal="center" vertical="center"/>
    </xf>
    <xf numFmtId="0" fontId="8" fillId="5" borderId="93" xfId="0" applyFont="1" applyFill="1" applyBorder="1" applyAlignment="1">
      <alignment horizontal="center" vertical="center"/>
    </xf>
    <xf numFmtId="0" fontId="8" fillId="5" borderId="94" xfId="0" applyFont="1" applyFill="1" applyBorder="1"/>
    <xf numFmtId="0" fontId="8" fillId="5" borderId="95" xfId="0" applyFont="1" applyFill="1" applyBorder="1" applyAlignment="1"/>
    <xf numFmtId="0" fontId="8" fillId="5" borderId="96" xfId="0" applyFont="1" applyFill="1" applyBorder="1" applyAlignment="1"/>
    <xf numFmtId="0" fontId="8" fillId="5" borderId="96" xfId="0" applyFont="1" applyFill="1" applyBorder="1" applyAlignment="1">
      <alignment horizontal="center"/>
    </xf>
    <xf numFmtId="164" fontId="8" fillId="0" borderId="97" xfId="14" applyFont="1" applyFill="1" applyBorder="1" applyAlignment="1">
      <alignment horizontal="right"/>
    </xf>
    <xf numFmtId="0" fontId="31" fillId="0" borderId="30" xfId="3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164" fontId="2" fillId="0" borderId="2" xfId="14" applyFont="1" applyBorder="1" applyAlignment="1">
      <alignment vertical="center"/>
    </xf>
    <xf numFmtId="164" fontId="2" fillId="0" borderId="2" xfId="14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14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Border="1" applyAlignment="1">
      <alignment horizontal="left" vertical="center"/>
    </xf>
    <xf numFmtId="164" fontId="0" fillId="0" borderId="0" xfId="14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6" fontId="0" fillId="0" borderId="0" xfId="0" applyNumberFormat="1" applyAlignment="1">
      <alignment vertical="center"/>
    </xf>
    <xf numFmtId="174" fontId="0" fillId="0" borderId="0" xfId="14" applyNumberFormat="1" applyFont="1" applyAlignment="1">
      <alignment vertical="center"/>
    </xf>
    <xf numFmtId="175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164" fontId="0" fillId="0" borderId="0" xfId="14" applyFont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0" fillId="0" borderId="0" xfId="0" applyBorder="1"/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164" fontId="2" fillId="0" borderId="0" xfId="14" applyFont="1" applyBorder="1" applyAlignment="1">
      <alignment vertical="center"/>
    </xf>
    <xf numFmtId="164" fontId="2" fillId="0" borderId="0" xfId="14" applyFont="1" applyBorder="1" applyAlignment="1">
      <alignment horizontal="center" vertical="center"/>
    </xf>
    <xf numFmtId="171" fontId="2" fillId="0" borderId="0" xfId="14" applyNumberFormat="1" applyFont="1" applyBorder="1" applyAlignment="1">
      <alignment horizontal="center" vertical="center"/>
    </xf>
    <xf numFmtId="0" fontId="6" fillId="0" borderId="98" xfId="0" applyFont="1" applyBorder="1" applyAlignment="1">
      <alignment vertical="center"/>
    </xf>
    <xf numFmtId="0" fontId="0" fillId="0" borderId="75" xfId="0" applyBorder="1" applyAlignment="1">
      <alignment vertical="center"/>
    </xf>
    <xf numFmtId="0" fontId="5" fillId="0" borderId="76" xfId="0" applyFont="1" applyBorder="1" applyAlignment="1">
      <alignment horizontal="left" vertical="center"/>
    </xf>
    <xf numFmtId="0" fontId="5" fillId="0" borderId="99" xfId="0" applyFont="1" applyBorder="1" applyAlignment="1">
      <alignment horizontal="left" vertical="center"/>
    </xf>
    <xf numFmtId="0" fontId="13" fillId="0" borderId="100" xfId="0" applyFont="1" applyBorder="1" applyAlignment="1">
      <alignment horizontal="left" vertical="center"/>
    </xf>
    <xf numFmtId="164" fontId="2" fillId="0" borderId="100" xfId="14" applyFont="1" applyBorder="1" applyAlignment="1">
      <alignment vertical="center"/>
    </xf>
    <xf numFmtId="164" fontId="2" fillId="0" borderId="100" xfId="14" applyFont="1" applyBorder="1" applyAlignment="1">
      <alignment horizontal="center" vertical="center"/>
    </xf>
    <xf numFmtId="171" fontId="2" fillId="7" borderId="2" xfId="14" applyNumberFormat="1" applyFont="1" applyFill="1" applyBorder="1" applyAlignment="1">
      <alignment horizontal="center" vertical="center"/>
    </xf>
    <xf numFmtId="167" fontId="0" fillId="0" borderId="0" xfId="0" applyNumberFormat="1"/>
    <xf numFmtId="2" fontId="1" fillId="0" borderId="2" xfId="17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horizontal="center" vertical="center"/>
    </xf>
    <xf numFmtId="167" fontId="1" fillId="0" borderId="2" xfId="3" applyNumberFormat="1" applyFont="1" applyFill="1" applyBorder="1" applyAlignment="1">
      <alignment vertical="center"/>
    </xf>
    <xf numFmtId="1" fontId="1" fillId="0" borderId="2" xfId="3" applyNumberFormat="1" applyFont="1" applyFill="1" applyBorder="1" applyAlignment="1">
      <alignment horizontal="center" vertical="center"/>
    </xf>
    <xf numFmtId="2" fontId="1" fillId="7" borderId="2" xfId="3" applyNumberFormat="1" applyFont="1" applyFill="1" applyBorder="1" applyAlignment="1">
      <alignment horizontal="center" vertical="center"/>
    </xf>
    <xf numFmtId="165" fontId="1" fillId="0" borderId="2" xfId="17" applyNumberFormat="1" applyFont="1" applyFill="1" applyBorder="1" applyAlignment="1">
      <alignment vertical="center"/>
    </xf>
    <xf numFmtId="0" fontId="1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167" fontId="1" fillId="0" borderId="0" xfId="3" applyNumberFormat="1" applyFont="1" applyAlignment="1">
      <alignment vertical="center"/>
    </xf>
    <xf numFmtId="167" fontId="43" fillId="0" borderId="0" xfId="3" applyNumberFormat="1" applyFont="1" applyAlignment="1">
      <alignment horizontal="center" vertical="center"/>
    </xf>
    <xf numFmtId="0" fontId="1" fillId="0" borderId="2" xfId="3" applyFont="1" applyBorder="1" applyAlignment="1">
      <alignment vertical="center"/>
    </xf>
    <xf numFmtId="2" fontId="1" fillId="0" borderId="4" xfId="0" applyNumberFormat="1" applyFont="1" applyBorder="1" applyAlignment="1">
      <alignment horizontal="center" vertical="center"/>
    </xf>
    <xf numFmtId="167" fontId="1" fillId="0" borderId="4" xfId="3" applyNumberFormat="1" applyFont="1" applyFill="1" applyBorder="1" applyAlignment="1">
      <alignment vertical="center"/>
    </xf>
    <xf numFmtId="0" fontId="1" fillId="0" borderId="2" xfId="3" applyFont="1" applyBorder="1" applyAlignment="1">
      <alignment horizontal="center" vertical="center"/>
    </xf>
    <xf numFmtId="4" fontId="1" fillId="7" borderId="2" xfId="3" applyNumberFormat="1" applyFont="1" applyFill="1" applyBorder="1" applyAlignment="1">
      <alignment horizontal="center" vertical="center"/>
    </xf>
    <xf numFmtId="167" fontId="1" fillId="0" borderId="2" xfId="3" applyNumberFormat="1" applyFont="1" applyBorder="1" applyAlignment="1">
      <alignment vertical="center"/>
    </xf>
    <xf numFmtId="4" fontId="1" fillId="7" borderId="0" xfId="3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3" applyFont="1" applyBorder="1" applyAlignment="1">
      <alignment vertical="center"/>
    </xf>
    <xf numFmtId="2" fontId="1" fillId="0" borderId="0" xfId="0" applyNumberFormat="1" applyFont="1" applyBorder="1" applyAlignment="1">
      <alignment horizontal="center" vertical="center"/>
    </xf>
    <xf numFmtId="183" fontId="38" fillId="0" borderId="0" xfId="0" applyNumberFormat="1" applyFont="1" applyFill="1" applyBorder="1" applyAlignment="1">
      <alignment horizontal="left" vertical="top" wrapText="1"/>
    </xf>
    <xf numFmtId="167" fontId="1" fillId="0" borderId="0" xfId="3" applyNumberFormat="1" applyFont="1" applyFill="1" applyBorder="1" applyAlignment="1">
      <alignment vertical="center"/>
    </xf>
    <xf numFmtId="167" fontId="5" fillId="0" borderId="0" xfId="3" applyNumberFormat="1" applyFont="1" applyFill="1" applyBorder="1" applyAlignment="1">
      <alignment horizontal="center" vertical="center"/>
    </xf>
    <xf numFmtId="167" fontId="5" fillId="0" borderId="0" xfId="3" applyNumberFormat="1" applyFont="1" applyAlignment="1">
      <alignment vertical="center"/>
    </xf>
    <xf numFmtId="167" fontId="5" fillId="0" borderId="0" xfId="3" applyNumberFormat="1" applyFont="1" applyAlignment="1">
      <alignment horizontal="center" vertical="center"/>
    </xf>
    <xf numFmtId="2" fontId="1" fillId="0" borderId="2" xfId="14" applyNumberFormat="1" applyFont="1" applyBorder="1" applyAlignment="1">
      <alignment horizontal="center"/>
    </xf>
    <xf numFmtId="165" fontId="1" fillId="0" borderId="4" xfId="17" applyNumberFormat="1" applyFont="1" applyFill="1" applyBorder="1" applyAlignment="1">
      <alignment vertical="center"/>
    </xf>
    <xf numFmtId="1" fontId="1" fillId="0" borderId="4" xfId="3" applyNumberFormat="1" applyFont="1" applyFill="1" applyBorder="1" applyAlignment="1">
      <alignment horizontal="center" vertical="center"/>
    </xf>
    <xf numFmtId="2" fontId="1" fillId="0" borderId="4" xfId="17" applyNumberFormat="1" applyFont="1" applyFill="1" applyBorder="1" applyAlignment="1">
      <alignment vertical="center"/>
    </xf>
    <xf numFmtId="2" fontId="1" fillId="0" borderId="3" xfId="0" applyNumberFormat="1" applyFont="1" applyBorder="1" applyAlignment="1">
      <alignment horizontal="center" vertical="center"/>
    </xf>
    <xf numFmtId="167" fontId="1" fillId="0" borderId="3" xfId="3" applyNumberFormat="1" applyFont="1" applyFill="1" applyBorder="1" applyAlignment="1">
      <alignment vertical="center"/>
    </xf>
    <xf numFmtId="165" fontId="1" fillId="7" borderId="119" xfId="17" applyNumberFormat="1" applyFont="1" applyFill="1" applyBorder="1" applyAlignment="1">
      <alignment vertical="center"/>
    </xf>
    <xf numFmtId="1" fontId="1" fillId="7" borderId="119" xfId="3" applyNumberFormat="1" applyFont="1" applyFill="1" applyBorder="1" applyAlignment="1">
      <alignment horizontal="center" vertical="center"/>
    </xf>
    <xf numFmtId="2" fontId="1" fillId="7" borderId="119" xfId="17" applyNumberFormat="1" applyFont="1" applyFill="1" applyBorder="1" applyAlignment="1">
      <alignment vertical="center"/>
    </xf>
    <xf numFmtId="2" fontId="1" fillId="7" borderId="119" xfId="0" applyNumberFormat="1" applyFont="1" applyFill="1" applyBorder="1" applyAlignment="1">
      <alignment horizontal="center" vertical="center"/>
    </xf>
    <xf numFmtId="167" fontId="1" fillId="7" borderId="119" xfId="3" applyNumberFormat="1" applyFont="1" applyFill="1" applyBorder="1" applyAlignment="1">
      <alignment vertical="center"/>
    </xf>
    <xf numFmtId="2" fontId="1" fillId="0" borderId="3" xfId="17" applyNumberFormat="1" applyFont="1" applyFill="1" applyBorder="1" applyAlignment="1">
      <alignment vertical="center"/>
    </xf>
    <xf numFmtId="2" fontId="1" fillId="0" borderId="0" xfId="14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2" fontId="0" fillId="0" borderId="0" xfId="0" applyNumberFormat="1" applyFill="1" applyBorder="1" applyAlignment="1">
      <alignment horizontal="center"/>
    </xf>
    <xf numFmtId="167" fontId="1" fillId="7" borderId="2" xfId="3" applyNumberFormat="1" applyFont="1" applyFill="1" applyBorder="1" applyAlignment="1">
      <alignment vertical="center"/>
    </xf>
    <xf numFmtId="0" fontId="1" fillId="7" borderId="2" xfId="3" applyFont="1" applyFill="1" applyBorder="1" applyAlignment="1">
      <alignment vertical="center"/>
    </xf>
    <xf numFmtId="0" fontId="1" fillId="7" borderId="2" xfId="3" applyFont="1" applyFill="1" applyBorder="1" applyAlignment="1">
      <alignment horizontal="center" vertical="center"/>
    </xf>
    <xf numFmtId="168" fontId="5" fillId="5" borderId="2" xfId="18" applyNumberFormat="1" applyFont="1" applyFill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/>
    </xf>
    <xf numFmtId="168" fontId="1" fillId="0" borderId="2" xfId="18" applyNumberFormat="1" applyFont="1" applyFill="1" applyBorder="1" applyAlignment="1" applyProtection="1">
      <alignment vertical="center"/>
      <protection locked="0"/>
    </xf>
    <xf numFmtId="165" fontId="1" fillId="7" borderId="113" xfId="17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top" wrapText="1"/>
    </xf>
    <xf numFmtId="183" fontId="45" fillId="0" borderId="2" xfId="0" applyNumberFormat="1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2" fontId="1" fillId="0" borderId="2" xfId="0" applyNumberFormat="1" applyFont="1" applyBorder="1" applyAlignment="1">
      <alignment horizontal="center"/>
    </xf>
    <xf numFmtId="0" fontId="1" fillId="0" borderId="2" xfId="14" applyNumberFormat="1" applyFont="1" applyBorder="1" applyAlignment="1">
      <alignment horizontal="center" vertical="center"/>
    </xf>
    <xf numFmtId="166" fontId="0" fillId="0" borderId="2" xfId="14" applyNumberFormat="1" applyFont="1" applyBorder="1" applyAlignment="1">
      <alignment horizontal="center" vertical="center"/>
    </xf>
    <xf numFmtId="3" fontId="4" fillId="7" borderId="0" xfId="0" applyNumberFormat="1" applyFont="1" applyFill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2" xfId="0" quotePrefix="1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164" fontId="4" fillId="0" borderId="2" xfId="14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167" fontId="4" fillId="0" borderId="2" xfId="0" applyNumberFormat="1" applyFont="1" applyBorder="1" applyAlignment="1">
      <alignment horizontal="right"/>
    </xf>
    <xf numFmtId="164" fontId="3" fillId="0" borderId="2" xfId="14" applyFont="1" applyBorder="1" applyAlignment="1">
      <alignment horizontal="right"/>
    </xf>
    <xf numFmtId="3" fontId="4" fillId="0" borderId="2" xfId="0" applyNumberFormat="1" applyFont="1" applyBorder="1" applyAlignment="1">
      <alignment horizontal="center" vertical="center"/>
    </xf>
    <xf numFmtId="3" fontId="4" fillId="0" borderId="2" xfId="0" quotePrefix="1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177" fontId="4" fillId="0" borderId="2" xfId="14" applyNumberFormat="1" applyFont="1" applyBorder="1" applyAlignment="1">
      <alignment horizontal="center" vertical="center"/>
    </xf>
    <xf numFmtId="164" fontId="4" fillId="0" borderId="2" xfId="14" applyFont="1" applyBorder="1" applyAlignment="1">
      <alignment horizontal="center" vertical="center"/>
    </xf>
    <xf numFmtId="4" fontId="50" fillId="0" borderId="2" xfId="3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3" fontId="4" fillId="7" borderId="0" xfId="0" applyNumberFormat="1" applyFont="1" applyFill="1" applyBorder="1" applyAlignment="1">
      <alignment horizontal="right"/>
    </xf>
    <xf numFmtId="4" fontId="4" fillId="0" borderId="2" xfId="0" applyNumberFormat="1" applyFont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4" fillId="7" borderId="2" xfId="19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right"/>
    </xf>
    <xf numFmtId="164" fontId="1" fillId="7" borderId="2" xfId="14" applyNumberFormat="1" applyFont="1" applyFill="1" applyBorder="1"/>
    <xf numFmtId="167" fontId="1" fillId="7" borderId="2" xfId="0" applyNumberFormat="1" applyFont="1" applyFill="1" applyBorder="1" applyAlignment="1">
      <alignment horizontal="left"/>
    </xf>
    <xf numFmtId="178" fontId="1" fillId="7" borderId="2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2" xfId="0" applyFont="1" applyFill="1" applyBorder="1"/>
    <xf numFmtId="0" fontId="1" fillId="7" borderId="2" xfId="19" applyFont="1" applyFill="1" applyBorder="1" applyAlignment="1">
      <alignment horizontal="center" vertical="center"/>
    </xf>
    <xf numFmtId="167" fontId="1" fillId="7" borderId="2" xfId="0" applyNumberFormat="1" applyFont="1" applyFill="1" applyBorder="1"/>
    <xf numFmtId="1" fontId="1" fillId="0" borderId="101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67" fontId="1" fillId="0" borderId="104" xfId="3" applyNumberFormat="1" applyFont="1" applyFill="1" applyBorder="1" applyAlignment="1">
      <alignment horizontal="center" vertical="center"/>
    </xf>
    <xf numFmtId="167" fontId="5" fillId="0" borderId="104" xfId="3" applyNumberFormat="1" applyFont="1" applyFill="1" applyBorder="1" applyAlignment="1">
      <alignment horizontal="center" vertical="center"/>
    </xf>
    <xf numFmtId="1" fontId="5" fillId="0" borderId="101" xfId="0" applyNumberFormat="1" applyFont="1" applyFill="1" applyBorder="1" applyAlignment="1">
      <alignment horizontal="left"/>
    </xf>
    <xf numFmtId="1" fontId="1" fillId="0" borderId="101" xfId="0" applyNumberFormat="1" applyFont="1" applyFill="1" applyBorder="1" applyAlignment="1">
      <alignment horizontal="center"/>
    </xf>
    <xf numFmtId="168" fontId="5" fillId="5" borderId="101" xfId="18" applyNumberFormat="1" applyFont="1" applyFill="1" applyBorder="1" applyAlignment="1" applyProtection="1">
      <alignment vertical="center"/>
      <protection locked="0"/>
    </xf>
    <xf numFmtId="0" fontId="1" fillId="0" borderId="101" xfId="0" applyFont="1" applyBorder="1" applyAlignment="1">
      <alignment horizontal="left" vertical="center"/>
    </xf>
    <xf numFmtId="1" fontId="1" fillId="0" borderId="146" xfId="0" applyNumberFormat="1" applyFont="1" applyFill="1" applyBorder="1" applyAlignment="1">
      <alignment horizontal="center"/>
    </xf>
    <xf numFmtId="0" fontId="5" fillId="0" borderId="77" xfId="0" applyFont="1" applyBorder="1" applyAlignment="1">
      <alignment horizontal="left" vertical="center"/>
    </xf>
    <xf numFmtId="0" fontId="5" fillId="0" borderId="52" xfId="0" applyFont="1" applyBorder="1" applyAlignment="1">
      <alignment horizontal="center" vertical="center"/>
    </xf>
    <xf numFmtId="165" fontId="5" fillId="0" borderId="133" xfId="0" applyNumberFormat="1" applyFont="1" applyBorder="1" applyAlignment="1">
      <alignment horizontal="center" vertical="center"/>
    </xf>
    <xf numFmtId="167" fontId="5" fillId="0" borderId="131" xfId="0" applyNumberFormat="1" applyFont="1" applyBorder="1" applyAlignment="1">
      <alignment horizontal="center" vertical="center"/>
    </xf>
    <xf numFmtId="167" fontId="5" fillId="0" borderId="142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2" xfId="0" applyBorder="1"/>
    <xf numFmtId="0" fontId="2" fillId="0" borderId="2" xfId="0" applyFont="1" applyFill="1" applyBorder="1" applyAlignment="1">
      <alignment horizontal="left" vertical="center" wrapText="1"/>
    </xf>
    <xf numFmtId="0" fontId="13" fillId="0" borderId="101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" fillId="5" borderId="0" xfId="0" applyFont="1" applyFill="1" applyBorder="1"/>
    <xf numFmtId="0" fontId="1" fillId="5" borderId="113" xfId="0" applyFont="1" applyFill="1" applyBorder="1" applyAlignment="1">
      <alignment horizontal="center" vertical="center"/>
    </xf>
    <xf numFmtId="0" fontId="1" fillId="5" borderId="119" xfId="0" applyFont="1" applyFill="1" applyBorder="1" applyAlignment="1">
      <alignment horizontal="center" vertical="center"/>
    </xf>
    <xf numFmtId="4" fontId="1" fillId="5" borderId="112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113" xfId="0" applyFont="1" applyFill="1" applyBorder="1" applyAlignment="1">
      <alignment horizontal="left" vertical="center"/>
    </xf>
    <xf numFmtId="4" fontId="53" fillId="0" borderId="68" xfId="0" applyNumberFormat="1" applyFont="1" applyFill="1" applyBorder="1" applyAlignment="1">
      <alignment horizontal="center" vertical="center"/>
    </xf>
    <xf numFmtId="0" fontId="53" fillId="0" borderId="68" xfId="0" applyFont="1" applyFill="1" applyBorder="1" applyAlignment="1">
      <alignment horizontal="center" vertical="center"/>
    </xf>
    <xf numFmtId="0" fontId="53" fillId="0" borderId="69" xfId="0" applyFont="1" applyFill="1" applyBorder="1" applyAlignment="1">
      <alignment horizontal="center" vertical="center"/>
    </xf>
    <xf numFmtId="0" fontId="53" fillId="0" borderId="67" xfId="0" applyFont="1" applyFill="1" applyBorder="1" applyAlignment="1">
      <alignment horizontal="center" vertical="center"/>
    </xf>
    <xf numFmtId="0" fontId="53" fillId="0" borderId="68" xfId="0" applyFont="1" applyFill="1" applyBorder="1" applyAlignment="1">
      <alignment vertical="center"/>
    </xf>
    <xf numFmtId="4" fontId="53" fillId="0" borderId="68" xfId="0" applyNumberFormat="1" applyFont="1" applyFill="1" applyBorder="1" applyAlignment="1">
      <alignment horizontal="left" vertical="center"/>
    </xf>
    <xf numFmtId="0" fontId="53" fillId="0" borderId="68" xfId="0" applyFont="1" applyFill="1" applyBorder="1" applyAlignment="1">
      <alignment horizontal="right" vertical="center"/>
    </xf>
    <xf numFmtId="0" fontId="53" fillId="7" borderId="68" xfId="0" applyFont="1" applyFill="1" applyBorder="1" applyAlignment="1">
      <alignment horizontal="left" vertical="center"/>
    </xf>
    <xf numFmtId="0" fontId="53" fillId="7" borderId="68" xfId="0" applyFont="1" applyFill="1" applyBorder="1" applyAlignment="1">
      <alignment horizontal="center" vertical="center"/>
    </xf>
    <xf numFmtId="4" fontId="53" fillId="7" borderId="68" xfId="0" applyNumberFormat="1" applyFont="1" applyFill="1" applyBorder="1" applyAlignment="1">
      <alignment horizontal="center" vertical="center"/>
    </xf>
    <xf numFmtId="0" fontId="13" fillId="0" borderId="1" xfId="3" applyFont="1" applyBorder="1" applyAlignment="1">
      <alignment vertical="center" wrapText="1"/>
    </xf>
    <xf numFmtId="0" fontId="13" fillId="0" borderId="2" xfId="3" applyFont="1" applyBorder="1" applyAlignment="1">
      <alignment vertical="center" wrapText="1"/>
    </xf>
    <xf numFmtId="4" fontId="13" fillId="7" borderId="2" xfId="3" applyNumberFormat="1" applyFont="1" applyFill="1" applyBorder="1" applyAlignment="1">
      <alignment horizontal="center" vertical="center" wrapText="1"/>
    </xf>
    <xf numFmtId="167" fontId="13" fillId="0" borderId="2" xfId="3" applyNumberFormat="1" applyFont="1" applyBorder="1" applyAlignment="1">
      <alignment vertical="center" wrapText="1"/>
    </xf>
    <xf numFmtId="167" fontId="13" fillId="0" borderId="104" xfId="3" applyNumberFormat="1" applyFont="1" applyBorder="1" applyAlignment="1">
      <alignment vertical="center" wrapText="1"/>
    </xf>
    <xf numFmtId="0" fontId="1" fillId="7" borderId="64" xfId="0" applyFont="1" applyFill="1" applyBorder="1" applyAlignment="1"/>
    <xf numFmtId="0" fontId="1" fillId="7" borderId="102" xfId="0" applyFont="1" applyFill="1" applyBorder="1" applyAlignment="1"/>
    <xf numFmtId="0" fontId="0" fillId="7" borderId="0" xfId="0" applyFill="1" applyBorder="1"/>
    <xf numFmtId="0" fontId="0" fillId="7" borderId="73" xfId="0" applyFill="1" applyBorder="1"/>
    <xf numFmtId="0" fontId="0" fillId="7" borderId="74" xfId="0" applyFill="1" applyBorder="1"/>
    <xf numFmtId="0" fontId="0" fillId="7" borderId="76" xfId="0" applyFill="1" applyBorder="1"/>
    <xf numFmtId="0" fontId="0" fillId="7" borderId="75" xfId="0" applyFill="1" applyBorder="1"/>
    <xf numFmtId="0" fontId="41" fillId="7" borderId="73" xfId="3" applyFont="1" applyFill="1" applyBorder="1" applyAlignment="1">
      <alignment vertical="center"/>
    </xf>
    <xf numFmtId="0" fontId="42" fillId="7" borderId="73" xfId="3" applyFont="1" applyFill="1" applyBorder="1" applyAlignment="1">
      <alignment vertical="center"/>
    </xf>
    <xf numFmtId="0" fontId="41" fillId="7" borderId="75" xfId="3" applyFont="1" applyFill="1" applyBorder="1" applyAlignment="1">
      <alignment vertical="center"/>
    </xf>
    <xf numFmtId="0" fontId="41" fillId="7" borderId="0" xfId="3" applyFont="1" applyFill="1" applyBorder="1" applyAlignment="1">
      <alignment vertical="center"/>
    </xf>
    <xf numFmtId="0" fontId="42" fillId="7" borderId="0" xfId="3" applyFont="1" applyFill="1" applyBorder="1" applyAlignment="1">
      <alignment vertical="center"/>
    </xf>
    <xf numFmtId="167" fontId="13" fillId="7" borderId="74" xfId="3" applyNumberFormat="1" applyFont="1" applyFill="1" applyBorder="1" applyAlignment="1">
      <alignment horizontal="center"/>
    </xf>
    <xf numFmtId="167" fontId="13" fillId="7" borderId="76" xfId="3" applyNumberFormat="1" applyFont="1" applyFill="1" applyBorder="1" applyAlignment="1">
      <alignment horizontal="center" vertical="center"/>
    </xf>
    <xf numFmtId="167" fontId="13" fillId="7" borderId="76" xfId="3" applyNumberFormat="1" applyFont="1" applyFill="1" applyBorder="1" applyAlignment="1">
      <alignment horizontal="center"/>
    </xf>
    <xf numFmtId="0" fontId="5" fillId="7" borderId="72" xfId="3" applyFont="1" applyFill="1" applyBorder="1" applyAlignment="1">
      <alignment vertical="center"/>
    </xf>
    <xf numFmtId="0" fontId="5" fillId="7" borderId="75" xfId="3" applyFont="1" applyFill="1" applyBorder="1" applyAlignment="1">
      <alignment vertical="center"/>
    </xf>
    <xf numFmtId="0" fontId="1" fillId="7" borderId="101" xfId="0" applyFont="1" applyFill="1" applyBorder="1" applyAlignment="1">
      <alignment horizontal="center"/>
    </xf>
    <xf numFmtId="164" fontId="1" fillId="7" borderId="104" xfId="0" applyNumberFormat="1" applyFont="1" applyFill="1" applyBorder="1"/>
    <xf numFmtId="0" fontId="0" fillId="7" borderId="72" xfId="0" applyFill="1" applyBorder="1"/>
    <xf numFmtId="0" fontId="47" fillId="0" borderId="138" xfId="0" applyFont="1" applyBorder="1" applyAlignment="1">
      <alignment horizontal="left" vertical="center"/>
    </xf>
    <xf numFmtId="4" fontId="4" fillId="0" borderId="104" xfId="0" applyNumberFormat="1" applyFont="1" applyBorder="1" applyAlignment="1">
      <alignment horizontal="right"/>
    </xf>
    <xf numFmtId="3" fontId="4" fillId="0" borderId="138" xfId="0" applyNumberFormat="1" applyFont="1" applyBorder="1" applyAlignment="1">
      <alignment horizontal="center" vertical="center"/>
    </xf>
    <xf numFmtId="3" fontId="4" fillId="0" borderId="138" xfId="0" applyNumberFormat="1" applyFont="1" applyBorder="1" applyAlignment="1">
      <alignment horizontal="left" vertical="center"/>
    </xf>
    <xf numFmtId="3" fontId="4" fillId="0" borderId="101" xfId="0" applyNumberFormat="1" applyFont="1" applyBorder="1" applyAlignment="1">
      <alignment horizontal="center"/>
    </xf>
    <xf numFmtId="3" fontId="4" fillId="0" borderId="138" xfId="0" applyNumberFormat="1" applyFont="1" applyBorder="1" applyAlignment="1">
      <alignment horizontal="left"/>
    </xf>
    <xf numFmtId="164" fontId="4" fillId="0" borderId="104" xfId="14" applyFont="1" applyBorder="1" applyAlignment="1">
      <alignment horizontal="right"/>
    </xf>
    <xf numFmtId="3" fontId="3" fillId="0" borderId="138" xfId="0" applyNumberFormat="1" applyFont="1" applyBorder="1" applyAlignment="1">
      <alignment horizontal="left"/>
    </xf>
    <xf numFmtId="164" fontId="3" fillId="0" borderId="104" xfId="14" applyFont="1" applyBorder="1" applyAlignment="1">
      <alignment horizontal="right"/>
    </xf>
    <xf numFmtId="3" fontId="4" fillId="7" borderId="75" xfId="0" applyNumberFormat="1" applyFont="1" applyFill="1" applyBorder="1" applyAlignment="1">
      <alignment horizontal="right"/>
    </xf>
    <xf numFmtId="3" fontId="4" fillId="7" borderId="77" xfId="0" applyNumberFormat="1" applyFont="1" applyFill="1" applyBorder="1" applyAlignment="1">
      <alignment horizontal="left"/>
    </xf>
    <xf numFmtId="3" fontId="4" fillId="7" borderId="52" xfId="0" applyNumberFormat="1" applyFont="1" applyFill="1" applyBorder="1" applyAlignment="1">
      <alignment horizontal="center"/>
    </xf>
    <xf numFmtId="3" fontId="4" fillId="7" borderId="52" xfId="0" applyNumberFormat="1" applyFont="1" applyFill="1" applyBorder="1" applyAlignment="1">
      <alignment horizontal="right"/>
    </xf>
    <xf numFmtId="0" fontId="1" fillId="0" borderId="101" xfId="14" applyNumberFormat="1" applyFont="1" applyBorder="1" applyAlignment="1">
      <alignment horizontal="center" vertical="center"/>
    </xf>
    <xf numFmtId="166" fontId="0" fillId="0" borderId="104" xfId="14" applyNumberFormat="1" applyFont="1" applyBorder="1" applyAlignment="1">
      <alignment horizontal="center" vertical="center"/>
    </xf>
    <xf numFmtId="0" fontId="5" fillId="0" borderId="101" xfId="14" applyNumberFormat="1" applyFont="1" applyBorder="1" applyAlignment="1">
      <alignment horizontal="center" vertical="center"/>
    </xf>
    <xf numFmtId="0" fontId="0" fillId="0" borderId="124" xfId="0" applyBorder="1"/>
    <xf numFmtId="0" fontId="0" fillId="0" borderId="127" xfId="0" applyBorder="1"/>
    <xf numFmtId="0" fontId="5" fillId="0" borderId="100" xfId="14" applyNumberFormat="1" applyFont="1" applyBorder="1" applyAlignment="1">
      <alignment horizontal="center" vertical="center"/>
    </xf>
    <xf numFmtId="3" fontId="5" fillId="0" borderId="115" xfId="14" applyNumberFormat="1" applyFont="1" applyBorder="1" applyAlignment="1">
      <alignment horizontal="center" vertical="center"/>
    </xf>
    <xf numFmtId="0" fontId="44" fillId="7" borderId="0" xfId="3" applyFont="1" applyFill="1" applyBorder="1" applyAlignment="1">
      <alignment vertical="center" wrapText="1"/>
    </xf>
    <xf numFmtId="0" fontId="44" fillId="7" borderId="73" xfId="3" applyFont="1" applyFill="1" applyBorder="1" applyAlignment="1">
      <alignment vertical="center" wrapText="1"/>
    </xf>
    <xf numFmtId="0" fontId="44" fillId="7" borderId="74" xfId="3" applyFont="1" applyFill="1" applyBorder="1" applyAlignment="1">
      <alignment vertical="center" wrapText="1"/>
    </xf>
    <xf numFmtId="0" fontId="44" fillId="7" borderId="76" xfId="3" applyFont="1" applyFill="1" applyBorder="1" applyAlignment="1">
      <alignment vertical="center" wrapText="1"/>
    </xf>
    <xf numFmtId="182" fontId="45" fillId="0" borderId="101" xfId="0" applyNumberFormat="1" applyFont="1" applyFill="1" applyBorder="1" applyAlignment="1">
      <alignment horizontal="left" vertical="top" wrapText="1"/>
    </xf>
    <xf numFmtId="167" fontId="1" fillId="0" borderId="141" xfId="3" applyNumberFormat="1" applyFont="1" applyFill="1" applyBorder="1" applyAlignment="1">
      <alignment horizontal="center" vertical="center"/>
    </xf>
    <xf numFmtId="1" fontId="5" fillId="7" borderId="101" xfId="0" applyNumberFormat="1" applyFont="1" applyFill="1" applyBorder="1" applyAlignment="1">
      <alignment horizontal="left" vertical="center"/>
    </xf>
    <xf numFmtId="167" fontId="1" fillId="7" borderId="126" xfId="3" applyNumberFormat="1" applyFont="1" applyFill="1" applyBorder="1" applyAlignment="1">
      <alignment horizontal="center" vertical="center"/>
    </xf>
    <xf numFmtId="1" fontId="5" fillId="7" borderId="91" xfId="0" applyNumberFormat="1" applyFont="1" applyFill="1" applyBorder="1" applyAlignment="1">
      <alignment horizontal="left" vertical="center"/>
    </xf>
    <xf numFmtId="182" fontId="45" fillId="0" borderId="138" xfId="0" applyNumberFormat="1" applyFont="1" applyFill="1" applyBorder="1" applyAlignment="1">
      <alignment horizontal="left" vertical="top" wrapText="1"/>
    </xf>
    <xf numFmtId="167" fontId="1" fillId="0" borderId="139" xfId="3" applyNumberFormat="1" applyFont="1" applyFill="1" applyBorder="1" applyAlignment="1">
      <alignment horizontal="center" vertical="center"/>
    </xf>
    <xf numFmtId="1" fontId="5" fillId="0" borderId="101" xfId="0" applyNumberFormat="1" applyFont="1" applyFill="1" applyBorder="1" applyAlignment="1">
      <alignment horizontal="left" vertical="center"/>
    </xf>
    <xf numFmtId="167" fontId="43" fillId="0" borderId="104" xfId="3" applyNumberFormat="1" applyFont="1" applyBorder="1" applyAlignment="1">
      <alignment horizontal="center" vertical="center"/>
    </xf>
    <xf numFmtId="167" fontId="43" fillId="7" borderId="104" xfId="3" applyNumberFormat="1" applyFont="1" applyFill="1" applyBorder="1" applyAlignment="1">
      <alignment horizontal="center" vertical="center"/>
    </xf>
    <xf numFmtId="0" fontId="5" fillId="0" borderId="101" xfId="3" applyFont="1" applyBorder="1" applyAlignment="1">
      <alignment vertical="center"/>
    </xf>
    <xf numFmtId="0" fontId="1" fillId="0" borderId="101" xfId="3" applyFont="1" applyBorder="1" applyAlignment="1">
      <alignment horizontal="center" vertical="center"/>
    </xf>
    <xf numFmtId="4" fontId="1" fillId="7" borderId="2" xfId="3" applyNumberFormat="1" applyFont="1" applyFill="1" applyBorder="1" applyAlignment="1">
      <alignment horizontal="center" vertical="center" wrapText="1"/>
    </xf>
    <xf numFmtId="0" fontId="1" fillId="0" borderId="2" xfId="3" applyFont="1" applyBorder="1" applyAlignment="1">
      <alignment horizontal="center" vertical="center" wrapText="1"/>
    </xf>
    <xf numFmtId="167" fontId="1" fillId="0" borderId="2" xfId="3" applyNumberFormat="1" applyFont="1" applyBorder="1" applyAlignment="1">
      <alignment horizontal="center" vertical="center" wrapText="1"/>
    </xf>
    <xf numFmtId="167" fontId="1" fillId="0" borderId="104" xfId="3" applyNumberFormat="1" applyFont="1" applyBorder="1" applyAlignment="1">
      <alignment horizontal="center" vertical="center" wrapText="1"/>
    </xf>
    <xf numFmtId="0" fontId="7" fillId="7" borderId="0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horizontal="center"/>
    </xf>
    <xf numFmtId="0" fontId="13" fillId="7" borderId="76" xfId="0" applyFont="1" applyFill="1" applyBorder="1" applyAlignment="1">
      <alignment vertical="center"/>
    </xf>
    <xf numFmtId="0" fontId="9" fillId="2" borderId="129" xfId="0" applyFont="1" applyFill="1" applyBorder="1" applyAlignment="1">
      <alignment horizontal="center" vertical="justify"/>
    </xf>
    <xf numFmtId="0" fontId="9" fillId="2" borderId="130" xfId="0" applyFont="1" applyFill="1" applyBorder="1" applyAlignment="1">
      <alignment horizontal="center" vertical="center"/>
    </xf>
    <xf numFmtId="0" fontId="9" fillId="2" borderId="150" xfId="0" applyFont="1" applyFill="1" applyBorder="1" applyAlignment="1">
      <alignment horizontal="center" vertical="center"/>
    </xf>
    <xf numFmtId="0" fontId="1" fillId="7" borderId="2" xfId="0" applyNumberFormat="1" applyFont="1" applyFill="1" applyBorder="1" applyAlignment="1">
      <alignment vertical="center"/>
    </xf>
    <xf numFmtId="0" fontId="44" fillId="7" borderId="113" xfId="0" applyNumberFormat="1" applyFont="1" applyFill="1" applyBorder="1" applyAlignment="1">
      <alignment horizontal="center" vertical="center"/>
    </xf>
    <xf numFmtId="0" fontId="44" fillId="7" borderId="2" xfId="0" applyNumberFormat="1" applyFont="1" applyFill="1" applyBorder="1" applyAlignment="1">
      <alignment horizontal="center" vertical="center" wrapText="1"/>
    </xf>
    <xf numFmtId="164" fontId="44" fillId="7" borderId="2" xfId="14" applyFont="1" applyFill="1" applyBorder="1" applyAlignment="1">
      <alignment vertical="center"/>
    </xf>
    <xf numFmtId="0" fontId="9" fillId="7" borderId="123" xfId="0" applyFont="1" applyFill="1" applyBorder="1" applyAlignment="1">
      <alignment horizontal="center" vertical="justify"/>
    </xf>
    <xf numFmtId="0" fontId="9" fillId="7" borderId="1" xfId="0" applyFont="1" applyFill="1" applyBorder="1" applyAlignment="1">
      <alignment horizontal="center"/>
    </xf>
    <xf numFmtId="0" fontId="9" fillId="7" borderId="147" xfId="0" applyFont="1" applyFill="1" applyBorder="1" applyAlignment="1">
      <alignment horizontal="center"/>
    </xf>
    <xf numFmtId="0" fontId="9" fillId="7" borderId="134" xfId="0" applyFont="1" applyFill="1" applyBorder="1" applyAlignment="1">
      <alignment horizontal="center" vertical="justify"/>
    </xf>
    <xf numFmtId="0" fontId="9" fillId="7" borderId="131" xfId="0" applyFont="1" applyFill="1" applyBorder="1" applyAlignment="1">
      <alignment horizontal="center"/>
    </xf>
    <xf numFmtId="0" fontId="9" fillId="7" borderId="142" xfId="0" applyFont="1" applyFill="1" applyBorder="1" applyAlignment="1">
      <alignment horizontal="center"/>
    </xf>
    <xf numFmtId="0" fontId="9" fillId="7" borderId="67" xfId="0" applyNumberFormat="1" applyFont="1" applyFill="1" applyBorder="1" applyAlignment="1">
      <alignment horizontal="left"/>
    </xf>
    <xf numFmtId="164" fontId="9" fillId="7" borderId="152" xfId="22" applyFont="1" applyFill="1" applyBorder="1" applyAlignment="1">
      <alignment horizontal="center"/>
    </xf>
    <xf numFmtId="164" fontId="8" fillId="7" borderId="3" xfId="22" applyFont="1" applyFill="1" applyBorder="1" applyAlignment="1">
      <alignment horizontal="center"/>
    </xf>
    <xf numFmtId="164" fontId="8" fillId="7" borderId="139" xfId="22" applyFont="1" applyFill="1" applyBorder="1" applyAlignment="1">
      <alignment horizontal="center"/>
    </xf>
    <xf numFmtId="0" fontId="9" fillId="7" borderId="66" xfId="0" applyFont="1" applyFill="1" applyBorder="1" applyAlignment="1">
      <alignment horizontal="left"/>
    </xf>
    <xf numFmtId="164" fontId="9" fillId="7" borderId="153" xfId="0" applyNumberFormat="1" applyFont="1" applyFill="1" applyBorder="1" applyAlignment="1">
      <alignment horizontal="justify"/>
    </xf>
    <xf numFmtId="164" fontId="8" fillId="7" borderId="4" xfId="22" applyFont="1" applyFill="1" applyBorder="1" applyAlignment="1">
      <alignment horizontal="center"/>
    </xf>
    <xf numFmtId="164" fontId="8" fillId="7" borderId="141" xfId="22" applyFont="1" applyFill="1" applyBorder="1" applyAlignment="1">
      <alignment horizontal="center"/>
    </xf>
    <xf numFmtId="0" fontId="9" fillId="7" borderId="69" xfId="0" applyFont="1" applyFill="1" applyBorder="1" applyAlignment="1">
      <alignment horizontal="left"/>
    </xf>
    <xf numFmtId="164" fontId="9" fillId="7" borderId="153" xfId="22" applyFont="1" applyFill="1" applyBorder="1" applyAlignment="1">
      <alignment horizontal="center"/>
    </xf>
    <xf numFmtId="164" fontId="9" fillId="7" borderId="3" xfId="0" applyNumberFormat="1" applyFont="1" applyFill="1" applyBorder="1" applyAlignment="1"/>
    <xf numFmtId="164" fontId="8" fillId="7" borderId="3" xfId="0" applyNumberFormat="1" applyFont="1" applyFill="1" applyBorder="1" applyAlignment="1"/>
    <xf numFmtId="0" fontId="9" fillId="7" borderId="101" xfId="0" applyFont="1" applyFill="1" applyBorder="1" applyAlignment="1">
      <alignment horizontal="left"/>
    </xf>
    <xf numFmtId="0" fontId="9" fillId="7" borderId="2" xfId="0" applyFont="1" applyFill="1" applyBorder="1" applyAlignment="1">
      <alignment horizontal="left"/>
    </xf>
    <xf numFmtId="164" fontId="9" fillId="7" borderId="2" xfId="22" applyFont="1" applyFill="1" applyBorder="1" applyAlignment="1"/>
    <xf numFmtId="164" fontId="8" fillId="7" borderId="2" xfId="22" applyFont="1" applyFill="1" applyBorder="1" applyAlignment="1">
      <alignment horizontal="center"/>
    </xf>
    <xf numFmtId="164" fontId="9" fillId="7" borderId="100" xfId="22" applyFont="1" applyFill="1" applyBorder="1" applyAlignment="1"/>
    <xf numFmtId="164" fontId="8" fillId="7" borderId="100" xfId="22" applyFont="1" applyFill="1" applyBorder="1" applyAlignment="1">
      <alignment horizontal="center"/>
    </xf>
    <xf numFmtId="164" fontId="8" fillId="7" borderId="115" xfId="22" applyFont="1" applyFill="1" applyBorder="1" applyAlignment="1">
      <alignment horizontal="center"/>
    </xf>
    <xf numFmtId="0" fontId="9" fillId="8" borderId="117" xfId="0" applyNumberFormat="1" applyFont="1" applyFill="1" applyBorder="1" applyAlignment="1">
      <alignment horizontal="left"/>
    </xf>
    <xf numFmtId="164" fontId="9" fillId="8" borderId="151" xfId="0" applyNumberFormat="1" applyFont="1" applyFill="1" applyBorder="1" applyAlignment="1">
      <alignment horizontal="justify"/>
    </xf>
    <xf numFmtId="164" fontId="8" fillId="8" borderId="130" xfId="22" applyFont="1" applyFill="1" applyBorder="1" applyAlignment="1">
      <alignment horizontal="center"/>
    </xf>
    <xf numFmtId="164" fontId="8" fillId="8" borderId="150" xfId="22" applyFont="1" applyFill="1" applyBorder="1" applyAlignment="1">
      <alignment horizontal="center"/>
    </xf>
    <xf numFmtId="0" fontId="9" fillId="8" borderId="67" xfId="0" applyNumberFormat="1" applyFont="1" applyFill="1" applyBorder="1" applyAlignment="1">
      <alignment horizontal="left"/>
    </xf>
    <xf numFmtId="0" fontId="9" fillId="8" borderId="69" xfId="0" applyNumberFormat="1" applyFont="1" applyFill="1" applyBorder="1" applyAlignment="1">
      <alignment horizontal="left"/>
    </xf>
    <xf numFmtId="164" fontId="9" fillId="8" borderId="152" xfId="22" applyFont="1" applyFill="1" applyBorder="1" applyAlignment="1">
      <alignment horizontal="center"/>
    </xf>
    <xf numFmtId="164" fontId="8" fillId="8" borderId="3" xfId="22" applyFont="1" applyFill="1" applyBorder="1" applyAlignment="1">
      <alignment horizontal="center"/>
    </xf>
    <xf numFmtId="164" fontId="8" fillId="8" borderId="139" xfId="22" applyFont="1" applyFill="1" applyBorder="1" applyAlignment="1">
      <alignment horizontal="center"/>
    </xf>
    <xf numFmtId="0" fontId="9" fillId="8" borderId="66" xfId="0" applyFont="1" applyFill="1" applyBorder="1" applyAlignment="1">
      <alignment horizontal="left"/>
    </xf>
    <xf numFmtId="164" fontId="9" fillId="8" borderId="153" xfId="0" applyNumberFormat="1" applyFont="1" applyFill="1" applyBorder="1" applyAlignment="1">
      <alignment horizontal="justify"/>
    </xf>
    <xf numFmtId="164" fontId="8" fillId="8" borderId="4" xfId="22" applyFont="1" applyFill="1" applyBorder="1" applyAlignment="1">
      <alignment horizontal="center"/>
    </xf>
    <xf numFmtId="164" fontId="8" fillId="8" borderId="141" xfId="22" applyFont="1" applyFill="1" applyBorder="1" applyAlignment="1">
      <alignment horizontal="center"/>
    </xf>
    <xf numFmtId="164" fontId="9" fillId="8" borderId="154" xfId="22" applyFont="1" applyFill="1" applyBorder="1" applyAlignment="1">
      <alignment horizontal="center"/>
    </xf>
    <xf numFmtId="164" fontId="8" fillId="8" borderId="1" xfId="22" applyFont="1" applyFill="1" applyBorder="1" applyAlignment="1">
      <alignment horizontal="center"/>
    </xf>
    <xf numFmtId="164" fontId="8" fillId="8" borderId="147" xfId="22" applyFont="1" applyFill="1" applyBorder="1" applyAlignment="1">
      <alignment horizontal="center"/>
    </xf>
    <xf numFmtId="164" fontId="9" fillId="8" borderId="154" xfId="0" applyNumberFormat="1" applyFont="1" applyFill="1" applyBorder="1" applyAlignment="1">
      <alignment horizontal="justify"/>
    </xf>
    <xf numFmtId="164" fontId="9" fillId="8" borderId="153" xfId="22" applyFont="1" applyFill="1" applyBorder="1" applyAlignment="1">
      <alignment horizontal="center"/>
    </xf>
    <xf numFmtId="0" fontId="9" fillId="8" borderId="69" xfId="0" applyFont="1" applyFill="1" applyBorder="1" applyAlignment="1">
      <alignment horizontal="left"/>
    </xf>
    <xf numFmtId="164" fontId="9" fillId="8" borderId="2" xfId="0" applyNumberFormat="1" applyFont="1" applyFill="1" applyBorder="1" applyAlignment="1"/>
    <xf numFmtId="164" fontId="9" fillId="8" borderId="2" xfId="22" applyFont="1" applyFill="1" applyBorder="1"/>
    <xf numFmtId="164" fontId="9" fillId="8" borderId="2" xfId="0" applyNumberFormat="1" applyFont="1" applyFill="1" applyBorder="1"/>
    <xf numFmtId="164" fontId="9" fillId="8" borderId="104" xfId="0" applyNumberFormat="1" applyFont="1" applyFill="1" applyBorder="1"/>
    <xf numFmtId="0" fontId="13" fillId="7" borderId="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/>
    </xf>
    <xf numFmtId="167" fontId="13" fillId="7" borderId="2" xfId="0" applyNumberFormat="1" applyFont="1" applyFill="1" applyBorder="1" applyAlignment="1">
      <alignment horizontal="center" vertical="center"/>
    </xf>
    <xf numFmtId="167" fontId="13" fillId="7" borderId="2" xfId="0" applyNumberFormat="1" applyFont="1" applyFill="1" applyBorder="1" applyAlignment="1">
      <alignment horizontal="center"/>
    </xf>
    <xf numFmtId="0" fontId="2" fillId="7" borderId="101" xfId="0" applyFont="1" applyFill="1" applyBorder="1" applyAlignment="1">
      <alignment horizontal="left" vertical="center"/>
    </xf>
    <xf numFmtId="1" fontId="2" fillId="7" borderId="2" xfId="0" applyNumberFormat="1" applyFont="1" applyFill="1" applyBorder="1" applyAlignment="1">
      <alignment horizontal="center" vertical="center"/>
    </xf>
    <xf numFmtId="2" fontId="2" fillId="7" borderId="2" xfId="0" applyNumberFormat="1" applyFont="1" applyFill="1" applyBorder="1" applyAlignment="1">
      <alignment horizontal="center" vertical="center"/>
    </xf>
    <xf numFmtId="164" fontId="2" fillId="7" borderId="2" xfId="14" applyFont="1" applyFill="1" applyBorder="1"/>
    <xf numFmtId="166" fontId="2" fillId="7" borderId="2" xfId="0" applyNumberFormat="1" applyFont="1" applyFill="1" applyBorder="1" applyAlignment="1">
      <alignment horizontal="right" vertical="center"/>
    </xf>
    <xf numFmtId="167" fontId="2" fillId="7" borderId="2" xfId="0" applyNumberFormat="1" applyFont="1" applyFill="1" applyBorder="1"/>
    <xf numFmtId="10" fontId="2" fillId="7" borderId="2" xfId="0" applyNumberFormat="1" applyFont="1" applyFill="1" applyBorder="1"/>
    <xf numFmtId="0" fontId="2" fillId="7" borderId="2" xfId="0" applyFont="1" applyFill="1" applyBorder="1"/>
    <xf numFmtId="167" fontId="2" fillId="7" borderId="2" xfId="14" applyNumberFormat="1" applyFont="1" applyFill="1" applyBorder="1"/>
    <xf numFmtId="171" fontId="2" fillId="7" borderId="2" xfId="0" applyNumberFormat="1" applyFont="1" applyFill="1" applyBorder="1"/>
    <xf numFmtId="164" fontId="2" fillId="7" borderId="2" xfId="0" applyNumberFormat="1" applyFont="1" applyFill="1" applyBorder="1"/>
    <xf numFmtId="164" fontId="2" fillId="7" borderId="2" xfId="0" applyNumberFormat="1" applyFont="1" applyFill="1" applyBorder="1" applyAlignment="1">
      <alignment horizontal="center"/>
    </xf>
    <xf numFmtId="0" fontId="2" fillId="7" borderId="104" xfId="0" applyFont="1" applyFill="1" applyBorder="1" applyAlignment="1">
      <alignment horizontal="center" vertical="center"/>
    </xf>
    <xf numFmtId="179" fontId="38" fillId="7" borderId="2" xfId="0" applyNumberFormat="1" applyFont="1" applyFill="1" applyBorder="1" applyAlignment="1">
      <alignment horizontal="right" vertical="top" wrapText="1"/>
    </xf>
    <xf numFmtId="164" fontId="2" fillId="7" borderId="2" xfId="14" applyFont="1" applyFill="1" applyBorder="1" applyAlignment="1">
      <alignment vertical="center"/>
    </xf>
    <xf numFmtId="167" fontId="13" fillId="7" borderId="2" xfId="0" applyNumberFormat="1" applyFont="1" applyFill="1" applyBorder="1"/>
    <xf numFmtId="167" fontId="13" fillId="7" borderId="2" xfId="14" applyNumberFormat="1" applyFont="1" applyFill="1" applyBorder="1"/>
    <xf numFmtId="0" fontId="5" fillId="7" borderId="72" xfId="0" applyFont="1" applyFill="1" applyBorder="1" applyAlignment="1">
      <alignment horizontal="left"/>
    </xf>
    <xf numFmtId="0" fontId="5" fillId="7" borderId="72" xfId="0" applyFont="1" applyFill="1" applyBorder="1" applyAlignment="1">
      <alignment horizontal="center"/>
    </xf>
    <xf numFmtId="0" fontId="5" fillId="7" borderId="135" xfId="0" applyFont="1" applyFill="1" applyBorder="1" applyAlignment="1">
      <alignment horizontal="center"/>
    </xf>
    <xf numFmtId="167" fontId="5" fillId="7" borderId="72" xfId="14" applyNumberFormat="1" applyFont="1" applyFill="1" applyBorder="1" applyAlignment="1"/>
    <xf numFmtId="167" fontId="5" fillId="7" borderId="73" xfId="14" applyNumberFormat="1" applyFont="1" applyFill="1" applyBorder="1" applyAlignment="1"/>
    <xf numFmtId="173" fontId="5" fillId="7" borderId="75" xfId="14" applyNumberFormat="1" applyFont="1" applyFill="1" applyBorder="1" applyAlignment="1"/>
    <xf numFmtId="0" fontId="5" fillId="7" borderId="74" xfId="0" applyFont="1" applyFill="1" applyBorder="1" applyAlignment="1">
      <alignment horizontal="center"/>
    </xf>
    <xf numFmtId="0" fontId="1" fillId="7" borderId="75" xfId="0" applyFont="1" applyFill="1" applyBorder="1" applyAlignment="1">
      <alignment horizontal="left"/>
    </xf>
    <xf numFmtId="0" fontId="5" fillId="7" borderId="75" xfId="0" applyFont="1" applyFill="1" applyBorder="1" applyAlignment="1">
      <alignment horizontal="center"/>
    </xf>
    <xf numFmtId="0" fontId="5" fillId="7" borderId="140" xfId="0" applyFont="1" applyFill="1" applyBorder="1" applyAlignment="1">
      <alignment horizontal="center"/>
    </xf>
    <xf numFmtId="167" fontId="5" fillId="7" borderId="75" xfId="14" applyNumberFormat="1" applyFont="1" applyFill="1" applyBorder="1" applyAlignment="1"/>
    <xf numFmtId="167" fontId="5" fillId="7" borderId="0" xfId="14" applyNumberFormat="1" applyFont="1" applyFill="1" applyBorder="1" applyAlignment="1"/>
    <xf numFmtId="0" fontId="5" fillId="7" borderId="76" xfId="0" applyFont="1" applyFill="1" applyBorder="1" applyAlignment="1">
      <alignment horizontal="center"/>
    </xf>
    <xf numFmtId="0" fontId="5" fillId="7" borderId="77" xfId="0" applyFont="1" applyFill="1" applyBorder="1" applyAlignment="1">
      <alignment horizontal="center"/>
    </xf>
    <xf numFmtId="167" fontId="5" fillId="7" borderId="77" xfId="14" applyNumberFormat="1" applyFont="1" applyFill="1" applyBorder="1" applyAlignment="1"/>
    <xf numFmtId="167" fontId="5" fillId="7" borderId="52" xfId="14" applyNumberFormat="1" applyFont="1" applyFill="1" applyBorder="1" applyAlignment="1"/>
    <xf numFmtId="167" fontId="5" fillId="7" borderId="77" xfId="0" applyNumberFormat="1" applyFont="1" applyFill="1" applyBorder="1"/>
    <xf numFmtId="167" fontId="5" fillId="7" borderId="52" xfId="0" applyNumberFormat="1" applyFont="1" applyFill="1" applyBorder="1"/>
    <xf numFmtId="0" fontId="5" fillId="7" borderId="78" xfId="0" applyFont="1" applyFill="1" applyBorder="1"/>
    <xf numFmtId="0" fontId="5" fillId="7" borderId="77" xfId="0" applyFont="1" applyFill="1" applyBorder="1"/>
    <xf numFmtId="0" fontId="5" fillId="7" borderId="78" xfId="0" applyFont="1" applyFill="1" applyBorder="1" applyAlignment="1">
      <alignment horizontal="center"/>
    </xf>
    <xf numFmtId="0" fontId="1" fillId="7" borderId="72" xfId="0" applyFont="1" applyFill="1" applyBorder="1" applyAlignment="1">
      <alignment horizontal="left"/>
    </xf>
    <xf numFmtId="0" fontId="5" fillId="7" borderId="135" xfId="0" applyFont="1" applyFill="1" applyBorder="1"/>
    <xf numFmtId="0" fontId="1" fillId="7" borderId="136" xfId="0" applyFont="1" applyFill="1" applyBorder="1" applyAlignment="1">
      <alignment horizontal="left"/>
    </xf>
    <xf numFmtId="0" fontId="5" fillId="7" borderId="136" xfId="0" applyFont="1" applyFill="1" applyBorder="1" applyAlignment="1">
      <alignment horizontal="center"/>
    </xf>
    <xf numFmtId="0" fontId="5" fillId="7" borderId="8" xfId="0" applyFont="1" applyFill="1" applyBorder="1"/>
    <xf numFmtId="167" fontId="5" fillId="7" borderId="8" xfId="0" applyNumberFormat="1" applyFont="1" applyFill="1" applyBorder="1" applyAlignment="1"/>
    <xf numFmtId="0" fontId="5" fillId="7" borderId="8" xfId="0" applyFont="1" applyFill="1" applyBorder="1" applyAlignment="1"/>
    <xf numFmtId="0" fontId="5" fillId="7" borderId="136" xfId="0" applyFont="1" applyFill="1" applyBorder="1" applyAlignment="1"/>
    <xf numFmtId="0" fontId="2" fillId="7" borderId="75" xfId="0" applyFont="1" applyFill="1" applyBorder="1" applyAlignment="1">
      <alignment horizontal="left"/>
    </xf>
    <xf numFmtId="0" fontId="0" fillId="7" borderId="0" xfId="0" applyFill="1" applyBorder="1" applyAlignment="1">
      <alignment horizontal="center"/>
    </xf>
    <xf numFmtId="167" fontId="0" fillId="7" borderId="0" xfId="0" applyNumberFormat="1" applyFill="1" applyBorder="1" applyAlignment="1"/>
    <xf numFmtId="10" fontId="0" fillId="7" borderId="0" xfId="0" applyNumberFormat="1" applyFill="1" applyBorder="1"/>
    <xf numFmtId="167" fontId="0" fillId="7" borderId="0" xfId="0" applyNumberFormat="1" applyFill="1" applyBorder="1"/>
    <xf numFmtId="0" fontId="0" fillId="7" borderId="76" xfId="0" applyFill="1" applyBorder="1" applyAlignment="1">
      <alignment horizontal="center"/>
    </xf>
    <xf numFmtId="0" fontId="2" fillId="7" borderId="98" xfId="16" applyFont="1" applyFill="1" applyBorder="1" applyAlignment="1">
      <alignment horizontal="center"/>
    </xf>
    <xf numFmtId="0" fontId="2" fillId="7" borderId="65" xfId="16" applyFont="1" applyFill="1" applyBorder="1" applyAlignment="1">
      <alignment horizontal="center"/>
    </xf>
    <xf numFmtId="0" fontId="1" fillId="7" borderId="65" xfId="16" applyFill="1" applyBorder="1" applyAlignment="1">
      <alignment horizontal="center"/>
    </xf>
    <xf numFmtId="0" fontId="9" fillId="7" borderId="65" xfId="16" applyFont="1" applyFill="1" applyBorder="1" applyAlignment="1">
      <alignment horizontal="left"/>
    </xf>
    <xf numFmtId="0" fontId="1" fillId="7" borderId="65" xfId="16" applyFill="1" applyBorder="1"/>
    <xf numFmtId="0" fontId="1" fillId="7" borderId="66" xfId="16" applyFill="1" applyBorder="1"/>
    <xf numFmtId="0" fontId="1" fillId="7" borderId="64" xfId="16" applyFill="1" applyBorder="1"/>
    <xf numFmtId="0" fontId="2" fillId="7" borderId="65" xfId="16" applyFont="1" applyFill="1" applyBorder="1" applyAlignment="1">
      <alignment horizontal="left" vertical="center"/>
    </xf>
    <xf numFmtId="0" fontId="9" fillId="7" borderId="65" xfId="16" applyFont="1" applyFill="1" applyBorder="1"/>
    <xf numFmtId="0" fontId="1" fillId="7" borderId="75" xfId="16" applyFill="1" applyBorder="1"/>
    <xf numFmtId="0" fontId="1" fillId="7" borderId="0" xfId="16" applyFill="1" applyBorder="1"/>
    <xf numFmtId="0" fontId="1" fillId="7" borderId="103" xfId="16" applyFill="1" applyBorder="1"/>
    <xf numFmtId="0" fontId="1" fillId="7" borderId="102" xfId="16" applyFill="1" applyBorder="1"/>
    <xf numFmtId="0" fontId="13" fillId="7" borderId="0" xfId="16" applyFont="1" applyFill="1" applyBorder="1"/>
    <xf numFmtId="0" fontId="5" fillId="7" borderId="103" xfId="16" applyFont="1" applyFill="1" applyBorder="1"/>
    <xf numFmtId="173" fontId="0" fillId="7" borderId="76" xfId="0" applyNumberFormat="1" applyFill="1" applyBorder="1" applyAlignment="1">
      <alignment horizontal="center"/>
    </xf>
    <xf numFmtId="0" fontId="5" fillId="7" borderId="0" xfId="16" applyFont="1" applyFill="1" applyBorder="1"/>
    <xf numFmtId="49" fontId="13" fillId="7" borderId="103" xfId="16" applyNumberFormat="1" applyFont="1" applyFill="1" applyBorder="1" applyAlignment="1">
      <alignment horizontal="center" vertical="top"/>
    </xf>
    <xf numFmtId="0" fontId="2" fillId="7" borderId="0" xfId="16" applyFont="1" applyFill="1" applyBorder="1"/>
    <xf numFmtId="0" fontId="2" fillId="7" borderId="0" xfId="16" applyFont="1" applyFill="1" applyBorder="1" applyAlignment="1"/>
    <xf numFmtId="0" fontId="2" fillId="7" borderId="75" xfId="16" applyFont="1" applyFill="1" applyBorder="1"/>
    <xf numFmtId="0" fontId="2" fillId="7" borderId="102" xfId="16" applyFont="1" applyFill="1" applyBorder="1" applyAlignment="1">
      <alignment horizontal="left"/>
    </xf>
    <xf numFmtId="0" fontId="2" fillId="7" borderId="103" xfId="16" applyFont="1" applyFill="1" applyBorder="1" applyAlignment="1">
      <alignment horizontal="center"/>
    </xf>
    <xf numFmtId="167" fontId="5" fillId="7" borderId="0" xfId="0" applyNumberFormat="1" applyFont="1" applyFill="1" applyBorder="1"/>
    <xf numFmtId="0" fontId="5" fillId="7" borderId="2" xfId="0" applyFont="1" applyFill="1" applyBorder="1" applyAlignment="1"/>
    <xf numFmtId="165" fontId="2" fillId="7" borderId="0" xfId="0" applyNumberFormat="1" applyFont="1" applyFill="1" applyBorder="1"/>
    <xf numFmtId="0" fontId="2" fillId="7" borderId="0" xfId="16" applyFont="1" applyFill="1" applyBorder="1" applyAlignment="1">
      <alignment horizontal="center"/>
    </xf>
    <xf numFmtId="0" fontId="2" fillId="7" borderId="0" xfId="16" applyFont="1" applyFill="1" applyBorder="1" applyAlignment="1">
      <alignment horizontal="right"/>
    </xf>
    <xf numFmtId="0" fontId="2" fillId="7" borderId="102" xfId="16" applyFont="1" applyFill="1" applyBorder="1" applyAlignment="1"/>
    <xf numFmtId="167" fontId="2" fillId="7" borderId="0" xfId="0" applyNumberFormat="1" applyFont="1" applyFill="1" applyBorder="1"/>
    <xf numFmtId="0" fontId="13" fillId="7" borderId="75" xfId="16" applyFont="1" applyFill="1" applyBorder="1"/>
    <xf numFmtId="0" fontId="1" fillId="7" borderId="0" xfId="16" applyFill="1" applyBorder="1" applyAlignment="1">
      <alignment horizontal="center"/>
    </xf>
    <xf numFmtId="0" fontId="2" fillId="7" borderId="102" xfId="16" applyFont="1" applyFill="1" applyBorder="1" applyAlignment="1">
      <alignment vertical="top"/>
    </xf>
    <xf numFmtId="0" fontId="2" fillId="7" borderId="0" xfId="16" applyFont="1" applyFill="1" applyBorder="1" applyAlignment="1">
      <alignment vertical="top"/>
    </xf>
    <xf numFmtId="0" fontId="2" fillId="7" borderId="0" xfId="16" applyFont="1" applyFill="1" applyBorder="1" applyAlignment="1">
      <alignment horizontal="left"/>
    </xf>
    <xf numFmtId="0" fontId="2" fillId="7" borderId="103" xfId="16" applyFont="1" applyFill="1" applyBorder="1"/>
    <xf numFmtId="0" fontId="5" fillId="7" borderId="0" xfId="0" applyFont="1" applyFill="1" applyBorder="1" applyAlignment="1"/>
    <xf numFmtId="173" fontId="0" fillId="7" borderId="0" xfId="0" applyNumberFormat="1" applyFill="1" applyBorder="1"/>
    <xf numFmtId="0" fontId="1" fillId="7" borderId="68" xfId="16" applyFill="1" applyBorder="1"/>
    <xf numFmtId="0" fontId="1" fillId="7" borderId="69" xfId="16" applyFill="1" applyBorder="1"/>
    <xf numFmtId="0" fontId="1" fillId="7" borderId="67" xfId="16" applyFill="1" applyBorder="1"/>
    <xf numFmtId="0" fontId="13" fillId="7" borderId="77" xfId="16" applyFont="1" applyFill="1" applyBorder="1" applyAlignment="1">
      <alignment horizontal="center"/>
    </xf>
    <xf numFmtId="0" fontId="13" fillId="7" borderId="52" xfId="16" applyFont="1" applyFill="1" applyBorder="1" applyAlignment="1">
      <alignment horizontal="center"/>
    </xf>
    <xf numFmtId="0" fontId="1" fillId="7" borderId="52" xfId="16" applyFill="1" applyBorder="1"/>
    <xf numFmtId="0" fontId="0" fillId="7" borderId="52" xfId="0" applyFill="1" applyBorder="1" applyAlignment="1">
      <alignment horizontal="center"/>
    </xf>
    <xf numFmtId="167" fontId="0" fillId="7" borderId="52" xfId="0" applyNumberFormat="1" applyFill="1" applyBorder="1" applyAlignment="1"/>
    <xf numFmtId="0" fontId="0" fillId="7" borderId="52" xfId="0" applyFill="1" applyBorder="1"/>
    <xf numFmtId="173" fontId="0" fillId="7" borderId="52" xfId="0" applyNumberFormat="1" applyFill="1" applyBorder="1"/>
    <xf numFmtId="10" fontId="0" fillId="7" borderId="52" xfId="0" applyNumberFormat="1" applyFill="1" applyBorder="1"/>
    <xf numFmtId="167" fontId="0" fillId="7" borderId="52" xfId="0" applyNumberFormat="1" applyFill="1" applyBorder="1"/>
    <xf numFmtId="0" fontId="0" fillId="7" borderId="78" xfId="0" applyFill="1" applyBorder="1" applyAlignment="1">
      <alignment horizontal="center"/>
    </xf>
    <xf numFmtId="0" fontId="5" fillId="7" borderId="10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1" fillId="7" borderId="102" xfId="0" applyNumberFormat="1" applyFont="1" applyFill="1" applyBorder="1" applyAlignment="1">
      <alignment vertical="center"/>
    </xf>
    <xf numFmtId="0" fontId="1" fillId="7" borderId="0" xfId="0" applyNumberFormat="1" applyFont="1" applyFill="1" applyBorder="1" applyAlignment="1">
      <alignment vertical="center"/>
    </xf>
    <xf numFmtId="0" fontId="1" fillId="7" borderId="103" xfId="0" applyNumberFormat="1" applyFont="1" applyFill="1" applyBorder="1" applyAlignment="1">
      <alignment vertical="center"/>
    </xf>
    <xf numFmtId="0" fontId="1" fillId="7" borderId="113" xfId="0" applyNumberFormat="1" applyFont="1" applyFill="1" applyBorder="1" applyAlignment="1">
      <alignment vertical="center"/>
    </xf>
    <xf numFmtId="0" fontId="1" fillId="7" borderId="119" xfId="0" applyNumberFormat="1" applyFont="1" applyFill="1" applyBorder="1" applyAlignment="1">
      <alignment vertical="center"/>
    </xf>
    <xf numFmtId="0" fontId="1" fillId="7" borderId="112" xfId="0" applyNumberFormat="1" applyFont="1" applyFill="1" applyBorder="1" applyAlignment="1">
      <alignment vertical="center"/>
    </xf>
    <xf numFmtId="4" fontId="1" fillId="7" borderId="4" xfId="0" applyNumberFormat="1" applyFont="1" applyFill="1" applyBorder="1" applyAlignment="1">
      <alignment vertical="center"/>
    </xf>
    <xf numFmtId="164" fontId="56" fillId="7" borderId="1" xfId="14" applyFont="1" applyFill="1" applyBorder="1" applyAlignment="1">
      <alignment vertical="center"/>
    </xf>
    <xf numFmtId="4" fontId="1" fillId="7" borderId="3" xfId="0" applyNumberFormat="1" applyFont="1" applyFill="1" applyBorder="1" applyAlignment="1">
      <alignment vertical="center"/>
    </xf>
    <xf numFmtId="4" fontId="1" fillId="7" borderId="1" xfId="0" applyNumberFormat="1" applyFont="1" applyFill="1" applyBorder="1" applyAlignment="1">
      <alignment vertical="center"/>
    </xf>
    <xf numFmtId="164" fontId="1" fillId="7" borderId="4" xfId="14" applyFont="1" applyFill="1" applyBorder="1" applyAlignment="1">
      <alignment vertical="center"/>
    </xf>
    <xf numFmtId="4" fontId="44" fillId="7" borderId="1" xfId="0" applyNumberFormat="1" applyFont="1" applyFill="1" applyBorder="1" applyAlignment="1">
      <alignment vertical="center"/>
    </xf>
    <xf numFmtId="0" fontId="1" fillId="7" borderId="2" xfId="0" applyFont="1" applyFill="1" applyBorder="1" applyAlignment="1">
      <alignment vertical="center"/>
    </xf>
    <xf numFmtId="0" fontId="5" fillId="7" borderId="77" xfId="3" applyFont="1" applyFill="1" applyBorder="1" applyAlignment="1">
      <alignment vertical="center"/>
    </xf>
    <xf numFmtId="0" fontId="0" fillId="7" borderId="78" xfId="0" applyFill="1" applyBorder="1"/>
    <xf numFmtId="0" fontId="1" fillId="7" borderId="101" xfId="0" applyFont="1" applyFill="1" applyBorder="1"/>
    <xf numFmtId="0" fontId="1" fillId="7" borderId="104" xfId="0" applyFont="1" applyFill="1" applyBorder="1"/>
    <xf numFmtId="164" fontId="1" fillId="7" borderId="2" xfId="14" applyFont="1" applyFill="1" applyBorder="1"/>
    <xf numFmtId="2" fontId="1" fillId="7" borderId="2" xfId="0" applyNumberFormat="1" applyFont="1" applyFill="1" applyBorder="1" applyAlignment="1">
      <alignment horizontal="center"/>
    </xf>
    <xf numFmtId="164" fontId="5" fillId="7" borderId="104" xfId="0" applyNumberFormat="1" applyFont="1" applyFill="1" applyBorder="1"/>
    <xf numFmtId="164" fontId="5" fillId="7" borderId="104" xfId="0" applyNumberFormat="1" applyFont="1" applyFill="1" applyBorder="1" applyAlignment="1">
      <alignment horizontal="left"/>
    </xf>
    <xf numFmtId="0" fontId="5" fillId="7" borderId="101" xfId="0" applyFont="1" applyFill="1" applyBorder="1" applyAlignment="1">
      <alignment horizontal="left" vertical="center"/>
    </xf>
    <xf numFmtId="186" fontId="1" fillId="7" borderId="2" xfId="0" applyNumberFormat="1" applyFont="1" applyFill="1" applyBorder="1" applyAlignment="1">
      <alignment horizontal="center" wrapText="1"/>
    </xf>
    <xf numFmtId="170" fontId="4" fillId="7" borderId="2" xfId="19" applyNumberFormat="1" applyFont="1" applyFill="1" applyBorder="1" applyAlignment="1">
      <alignment horizontal="center"/>
    </xf>
    <xf numFmtId="170" fontId="4" fillId="7" borderId="33" xfId="19" applyNumberFormat="1" applyFont="1" applyFill="1" applyBorder="1" applyAlignment="1">
      <alignment horizontal="center"/>
    </xf>
    <xf numFmtId="0" fontId="5" fillId="7" borderId="2" xfId="0" applyFont="1" applyFill="1" applyBorder="1"/>
    <xf numFmtId="0" fontId="4" fillId="7" borderId="33" xfId="19" applyFont="1" applyFill="1" applyBorder="1" applyAlignment="1">
      <alignment horizontal="center"/>
    </xf>
    <xf numFmtId="170" fontId="1" fillId="7" borderId="2" xfId="19" applyNumberFormat="1" applyFont="1" applyFill="1" applyBorder="1" applyAlignment="1">
      <alignment horizontal="center"/>
    </xf>
    <xf numFmtId="0" fontId="1" fillId="7" borderId="91" xfId="0" applyFont="1" applyFill="1" applyBorder="1" applyAlignment="1"/>
    <xf numFmtId="0" fontId="1" fillId="7" borderId="119" xfId="0" applyFont="1" applyFill="1" applyBorder="1" applyAlignment="1"/>
    <xf numFmtId="170" fontId="1" fillId="7" borderId="2" xfId="0" applyNumberFormat="1" applyFont="1" applyFill="1" applyBorder="1" applyAlignment="1">
      <alignment horizontal="center" wrapText="1"/>
    </xf>
    <xf numFmtId="186" fontId="4" fillId="7" borderId="2" xfId="19" applyNumberFormat="1" applyFont="1" applyFill="1" applyBorder="1" applyAlignment="1">
      <alignment horizontal="center"/>
    </xf>
    <xf numFmtId="0" fontId="0" fillId="7" borderId="73" xfId="0" applyFill="1" applyBorder="1" applyAlignment="1">
      <alignment vertical="center"/>
    </xf>
    <xf numFmtId="2" fontId="5" fillId="7" borderId="75" xfId="0" applyNumberFormat="1" applyFont="1" applyFill="1" applyBorder="1" applyAlignment="1">
      <alignment horizontal="left" vertical="center"/>
    </xf>
    <xf numFmtId="0" fontId="0" fillId="7" borderId="0" xfId="0" applyFill="1" applyBorder="1" applyAlignment="1">
      <alignment vertical="center"/>
    </xf>
    <xf numFmtId="3" fontId="4" fillId="7" borderId="2" xfId="0" applyNumberFormat="1" applyFont="1" applyFill="1" applyBorder="1" applyAlignment="1">
      <alignment horizontal="center"/>
    </xf>
    <xf numFmtId="3" fontId="57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 wrapText="1"/>
    </xf>
    <xf numFmtId="3" fontId="3" fillId="7" borderId="2" xfId="0" applyNumberFormat="1" applyFont="1" applyFill="1" applyBorder="1" applyAlignment="1">
      <alignment horizontal="left" vertical="center"/>
    </xf>
    <xf numFmtId="4" fontId="4" fillId="7" borderId="2" xfId="0" applyNumberFormat="1" applyFont="1" applyFill="1" applyBorder="1" applyAlignment="1">
      <alignment horizontal="center"/>
    </xf>
    <xf numFmtId="4" fontId="4" fillId="7" borderId="2" xfId="0" quotePrefix="1" applyNumberFormat="1" applyFont="1" applyFill="1" applyBorder="1" applyAlignment="1">
      <alignment horizontal="center"/>
    </xf>
    <xf numFmtId="3" fontId="4" fillId="7" borderId="2" xfId="0" applyNumberFormat="1" applyFont="1" applyFill="1" applyBorder="1" applyAlignment="1">
      <alignment horizontal="left" wrapText="1"/>
    </xf>
    <xf numFmtId="3" fontId="4" fillId="7" borderId="2" xfId="0" applyNumberFormat="1" applyFont="1" applyFill="1" applyBorder="1" applyAlignment="1">
      <alignment horizontal="left"/>
    </xf>
    <xf numFmtId="4" fontId="3" fillId="7" borderId="2" xfId="0" applyNumberFormat="1" applyFont="1" applyFill="1" applyBorder="1" applyAlignment="1">
      <alignment horizontal="center"/>
    </xf>
    <xf numFmtId="0" fontId="58" fillId="0" borderId="156" xfId="0" applyFont="1" applyBorder="1" applyAlignment="1">
      <alignment vertical="center"/>
    </xf>
    <xf numFmtId="0" fontId="58" fillId="0" borderId="157" xfId="0" applyFont="1" applyBorder="1" applyAlignment="1">
      <alignment horizontal="center" vertical="center" wrapText="1"/>
    </xf>
    <xf numFmtId="0" fontId="61" fillId="0" borderId="157" xfId="0" applyFont="1" applyBorder="1" applyAlignment="1">
      <alignment horizontal="center" vertical="center" wrapText="1"/>
    </xf>
    <xf numFmtId="2" fontId="58" fillId="0" borderId="157" xfId="0" applyNumberFormat="1" applyFont="1" applyBorder="1" applyAlignment="1">
      <alignment horizontal="center" vertical="center" wrapText="1"/>
    </xf>
    <xf numFmtId="0" fontId="58" fillId="0" borderId="158" xfId="0" applyFont="1" applyBorder="1" applyAlignment="1">
      <alignment horizontal="center" vertical="center" wrapText="1"/>
    </xf>
    <xf numFmtId="0" fontId="0" fillId="0" borderId="101" xfId="0" applyFill="1" applyBorder="1"/>
    <xf numFmtId="0" fontId="60" fillId="0" borderId="101" xfId="0" applyFont="1" applyFill="1" applyBorder="1"/>
    <xf numFmtId="2" fontId="60" fillId="0" borderId="2" xfId="0" applyNumberFormat="1" applyFont="1" applyFill="1" applyBorder="1"/>
    <xf numFmtId="2" fontId="60" fillId="0" borderId="2" xfId="0" applyNumberFormat="1" applyFont="1" applyBorder="1"/>
    <xf numFmtId="0" fontId="60" fillId="0" borderId="2" xfId="0" applyFont="1" applyBorder="1"/>
    <xf numFmtId="4" fontId="60" fillId="0" borderId="104" xfId="0" applyNumberFormat="1" applyFont="1" applyBorder="1"/>
    <xf numFmtId="0" fontId="60" fillId="0" borderId="2" xfId="0" applyFont="1" applyFill="1" applyBorder="1"/>
    <xf numFmtId="4" fontId="60" fillId="0" borderId="104" xfId="0" applyNumberFormat="1" applyFont="1" applyFill="1" applyBorder="1"/>
    <xf numFmtId="4" fontId="59" fillId="10" borderId="115" xfId="0" applyNumberFormat="1" applyFont="1" applyFill="1" applyBorder="1"/>
    <xf numFmtId="4" fontId="58" fillId="8" borderId="160" xfId="0" applyNumberFormat="1" applyFont="1" applyFill="1" applyBorder="1"/>
    <xf numFmtId="4" fontId="58" fillId="0" borderId="158" xfId="0" applyNumberFormat="1" applyFont="1" applyBorder="1"/>
    <xf numFmtId="4" fontId="63" fillId="0" borderId="104" xfId="0" applyNumberFormat="1" applyFont="1" applyBorder="1"/>
    <xf numFmtId="4" fontId="58" fillId="9" borderId="115" xfId="0" applyNumberFormat="1" applyFont="1" applyFill="1" applyBorder="1" applyAlignment="1">
      <alignment vertical="center"/>
    </xf>
    <xf numFmtId="164" fontId="0" fillId="7" borderId="0" xfId="14" applyFont="1" applyFill="1" applyBorder="1"/>
    <xf numFmtId="9" fontId="60" fillId="7" borderId="0" xfId="0" applyNumberFormat="1" applyFont="1" applyFill="1" applyBorder="1"/>
    <xf numFmtId="2" fontId="60" fillId="0" borderId="2" xfId="0" applyNumberFormat="1" applyFont="1" applyFill="1" applyBorder="1" applyAlignment="1">
      <alignment horizontal="right" vertical="center"/>
    </xf>
    <xf numFmtId="2" fontId="0" fillId="0" borderId="2" xfId="0" applyNumberFormat="1" applyFill="1" applyBorder="1" applyAlignment="1">
      <alignment horizontal="right" vertical="center"/>
    </xf>
    <xf numFmtId="187" fontId="45" fillId="0" borderId="2" xfId="0" applyNumberFormat="1" applyFont="1" applyFill="1" applyBorder="1" applyAlignment="1">
      <alignment horizontal="left" vertical="top" wrapText="1"/>
    </xf>
    <xf numFmtId="187" fontId="1" fillId="7" borderId="2" xfId="3" applyNumberFormat="1" applyFont="1" applyFill="1" applyBorder="1" applyAlignment="1">
      <alignment horizontal="center" vertical="center"/>
    </xf>
    <xf numFmtId="187" fontId="1" fillId="0" borderId="4" xfId="0" applyNumberFormat="1" applyFont="1" applyBorder="1" applyAlignment="1">
      <alignment horizontal="center" vertical="center"/>
    </xf>
    <xf numFmtId="187" fontId="1" fillId="7" borderId="119" xfId="0" applyNumberFormat="1" applyFont="1" applyFill="1" applyBorder="1" applyAlignment="1">
      <alignment horizontal="center" vertical="center"/>
    </xf>
    <xf numFmtId="187" fontId="45" fillId="0" borderId="3" xfId="0" applyNumberFormat="1" applyFont="1" applyFill="1" applyBorder="1" applyAlignment="1">
      <alignment horizontal="left" vertical="top" wrapText="1"/>
    </xf>
    <xf numFmtId="0" fontId="60" fillId="0" borderId="113" xfId="0" applyFont="1" applyFill="1" applyBorder="1" applyAlignment="1">
      <alignment horizontal="left"/>
    </xf>
    <xf numFmtId="0" fontId="60" fillId="0" borderId="112" xfId="0" applyFont="1" applyFill="1" applyBorder="1" applyAlignment="1">
      <alignment horizontal="left"/>
    </xf>
    <xf numFmtId="0" fontId="0" fillId="7" borderId="0" xfId="0" applyFill="1" applyBorder="1" applyAlignment="1">
      <alignment horizontal="left"/>
    </xf>
    <xf numFmtId="0" fontId="58" fillId="0" borderId="15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60" fillId="0" borderId="2" xfId="0" applyFont="1" applyFill="1" applyBorder="1" applyAlignment="1">
      <alignment horizontal="left"/>
    </xf>
    <xf numFmtId="168" fontId="1" fillId="0" borderId="101" xfId="18" applyNumberFormat="1" applyFont="1" applyFill="1" applyBorder="1"/>
    <xf numFmtId="168" fontId="1" fillId="0" borderId="101" xfId="18" applyNumberFormat="1" applyFont="1" applyFill="1" applyBorder="1" applyAlignment="1">
      <alignment vertical="center" wrapText="1"/>
    </xf>
    <xf numFmtId="168" fontId="23" fillId="0" borderId="2" xfId="18" applyNumberFormat="1" applyFont="1" applyFill="1" applyBorder="1" applyAlignment="1">
      <alignment horizontal="center" vertical="center"/>
    </xf>
    <xf numFmtId="188" fontId="24" fillId="0" borderId="101" xfId="18" applyNumberFormat="1" applyFont="1" applyFill="1" applyBorder="1" applyAlignment="1" applyProtection="1">
      <alignment horizontal="center"/>
      <protection locked="0"/>
    </xf>
    <xf numFmtId="168" fontId="24" fillId="0" borderId="2" xfId="18" applyNumberFormat="1" applyFont="1" applyFill="1" applyBorder="1" applyAlignment="1" applyProtection="1">
      <alignment horizontal="left"/>
      <protection locked="0"/>
    </xf>
    <xf numFmtId="181" fontId="23" fillId="0" borderId="2" xfId="14" applyNumberFormat="1" applyFont="1" applyFill="1" applyBorder="1" applyAlignment="1" applyProtection="1">
      <protection locked="0"/>
    </xf>
    <xf numFmtId="164" fontId="23" fillId="0" borderId="104" xfId="14" applyFont="1" applyFill="1" applyBorder="1" applyAlignment="1" applyProtection="1">
      <protection locked="0"/>
    </xf>
    <xf numFmtId="3" fontId="23" fillId="0" borderId="101" xfId="18" applyNumberFormat="1" applyFont="1" applyFill="1" applyBorder="1" applyAlignment="1" applyProtection="1">
      <alignment horizontal="center"/>
      <protection locked="0"/>
    </xf>
    <xf numFmtId="168" fontId="23" fillId="0" borderId="2" xfId="18" applyNumberFormat="1" applyFont="1" applyFill="1" applyBorder="1" applyAlignment="1" applyProtection="1">
      <protection locked="0"/>
    </xf>
    <xf numFmtId="171" fontId="23" fillId="5" borderId="104" xfId="14" applyNumberFormat="1" applyFont="1" applyFill="1" applyBorder="1" applyAlignment="1" applyProtection="1">
      <protection locked="0"/>
    </xf>
    <xf numFmtId="188" fontId="23" fillId="5" borderId="101" xfId="18" applyNumberFormat="1" applyFont="1" applyFill="1" applyBorder="1" applyAlignment="1" applyProtection="1">
      <alignment horizontal="center"/>
      <protection locked="0"/>
    </xf>
    <xf numFmtId="168" fontId="23" fillId="5" borderId="2" xfId="18" applyNumberFormat="1" applyFont="1" applyFill="1" applyBorder="1" applyAlignment="1" applyProtection="1">
      <alignment horizontal="left"/>
      <protection locked="0"/>
    </xf>
    <xf numFmtId="168" fontId="23" fillId="5" borderId="2" xfId="18" applyNumberFormat="1" applyFont="1" applyFill="1" applyBorder="1" applyAlignment="1" applyProtection="1">
      <alignment horizontal="center"/>
      <protection locked="0"/>
    </xf>
    <xf numFmtId="168" fontId="23" fillId="0" borderId="2" xfId="24" applyNumberFormat="1" applyFont="1" applyFill="1" applyBorder="1" applyAlignment="1" applyProtection="1">
      <alignment horizontal="center"/>
      <protection locked="0"/>
    </xf>
    <xf numFmtId="171" fontId="23" fillId="0" borderId="104" xfId="14" applyNumberFormat="1" applyFont="1" applyBorder="1" applyAlignment="1">
      <alignment wrapText="1"/>
    </xf>
    <xf numFmtId="0" fontId="23" fillId="0" borderId="10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171" fontId="23" fillId="0" borderId="104" xfId="0" applyNumberFormat="1" applyFont="1" applyBorder="1" applyAlignment="1"/>
    <xf numFmtId="0" fontId="2" fillId="0" borderId="101" xfId="0" applyFont="1" applyFill="1" applyBorder="1" applyAlignment="1">
      <alignment horizontal="center" vertical="center"/>
    </xf>
    <xf numFmtId="3" fontId="23" fillId="5" borderId="101" xfId="18" applyNumberFormat="1" applyFont="1" applyFill="1" applyBorder="1" applyAlignment="1" applyProtection="1">
      <alignment horizontal="center"/>
      <protection locked="0"/>
    </xf>
    <xf numFmtId="188" fontId="23" fillId="0" borderId="101" xfId="18" applyNumberFormat="1" applyFont="1" applyFill="1" applyBorder="1" applyAlignment="1" applyProtection="1">
      <alignment horizontal="center"/>
      <protection locked="0"/>
    </xf>
    <xf numFmtId="168" fontId="24" fillId="0" borderId="2" xfId="18" applyNumberFormat="1" applyFont="1" applyFill="1" applyBorder="1" applyAlignment="1" applyProtection="1">
      <alignment horizontal="right"/>
      <protection locked="0"/>
    </xf>
    <xf numFmtId="171" fontId="23" fillId="0" borderId="104" xfId="14" applyNumberFormat="1" applyFont="1" applyFill="1" applyBorder="1" applyAlignment="1" applyProtection="1">
      <protection locked="0"/>
    </xf>
    <xf numFmtId="168" fontId="24" fillId="0" borderId="2" xfId="18" applyNumberFormat="1" applyFont="1" applyFill="1" applyBorder="1" applyAlignment="1" applyProtection="1">
      <alignment horizontal="justify"/>
      <protection locked="0"/>
    </xf>
    <xf numFmtId="168" fontId="23" fillId="0" borderId="2" xfId="18" applyNumberFormat="1" applyFont="1" applyFill="1" applyBorder="1" applyAlignment="1" applyProtection="1">
      <alignment horizontal="left"/>
      <protection locked="0"/>
    </xf>
    <xf numFmtId="168" fontId="23" fillId="0" borderId="2" xfId="18" applyNumberFormat="1" applyFont="1" applyFill="1" applyBorder="1" applyAlignment="1" applyProtection="1">
      <alignment horizontal="justify"/>
      <protection locked="0"/>
    </xf>
    <xf numFmtId="168" fontId="23" fillId="0" borderId="2" xfId="18" applyNumberFormat="1" applyFont="1" applyFill="1" applyBorder="1" applyAlignment="1" applyProtection="1">
      <alignment horizontal="center"/>
      <protection locked="0"/>
    </xf>
    <xf numFmtId="168" fontId="23" fillId="0" borderId="2" xfId="18" applyNumberFormat="1" applyFont="1" applyFill="1" applyBorder="1" applyAlignment="1" applyProtection="1">
      <alignment vertical="top"/>
      <protection locked="0"/>
    </xf>
    <xf numFmtId="171" fontId="23" fillId="0" borderId="104" xfId="18" applyNumberFormat="1" applyFont="1" applyFill="1" applyBorder="1" applyAlignment="1" applyProtection="1">
      <alignment vertical="top"/>
      <protection locked="0"/>
    </xf>
    <xf numFmtId="168" fontId="23" fillId="7" borderId="2" xfId="18" applyNumberFormat="1" applyFont="1" applyFill="1" applyBorder="1" applyAlignment="1" applyProtection="1">
      <alignment horizontal="left"/>
      <protection locked="0"/>
    </xf>
    <xf numFmtId="0" fontId="23" fillId="7" borderId="101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left" vertical="center" wrapText="1"/>
    </xf>
    <xf numFmtId="0" fontId="23" fillId="7" borderId="2" xfId="0" applyFont="1" applyFill="1" applyBorder="1" applyAlignment="1">
      <alignment horizontal="center" vertical="center"/>
    </xf>
    <xf numFmtId="171" fontId="23" fillId="0" borderId="104" xfId="24" applyNumberFormat="1" applyFont="1" applyFill="1" applyBorder="1" applyAlignment="1" applyProtection="1">
      <alignment vertical="top"/>
      <protection locked="0"/>
    </xf>
    <xf numFmtId="168" fontId="65" fillId="0" borderId="2" xfId="18" applyNumberFormat="1" applyFont="1" applyFill="1" applyBorder="1" applyAlignment="1" applyProtection="1">
      <alignment horizontal="right"/>
      <protection locked="0"/>
    </xf>
    <xf numFmtId="168" fontId="23" fillId="0" borderId="2" xfId="24" applyNumberFormat="1" applyFont="1" applyFill="1" applyBorder="1" applyAlignment="1" applyProtection="1">
      <alignment vertical="top"/>
      <protection locked="0"/>
    </xf>
    <xf numFmtId="168" fontId="24" fillId="0" borderId="2" xfId="18" applyNumberFormat="1" applyFont="1" applyFill="1" applyBorder="1" applyAlignment="1" applyProtection="1">
      <protection locked="0"/>
    </xf>
    <xf numFmtId="188" fontId="23" fillId="0" borderId="114" xfId="18" applyNumberFormat="1" applyFont="1" applyFill="1" applyBorder="1" applyAlignment="1" applyProtection="1">
      <alignment horizontal="center"/>
      <protection locked="0"/>
    </xf>
    <xf numFmtId="168" fontId="23" fillId="0" borderId="100" xfId="18" applyNumberFormat="1" applyFont="1" applyFill="1" applyBorder="1" applyAlignment="1" applyProtection="1">
      <protection locked="0"/>
    </xf>
    <xf numFmtId="168" fontId="23" fillId="0" borderId="100" xfId="24" applyNumberFormat="1" applyFont="1" applyFill="1" applyBorder="1" applyAlignment="1" applyProtection="1">
      <alignment horizontal="center"/>
      <protection locked="0"/>
    </xf>
    <xf numFmtId="171" fontId="23" fillId="0" borderId="115" xfId="14" applyNumberFormat="1" applyFont="1" applyFill="1" applyBorder="1" applyAlignment="1" applyProtection="1">
      <protection locked="0"/>
    </xf>
    <xf numFmtId="171" fontId="8" fillId="0" borderId="0" xfId="14" applyNumberFormat="1" applyFont="1" applyFill="1"/>
    <xf numFmtId="168" fontId="8" fillId="0" borderId="0" xfId="18" applyNumberFormat="1" applyFont="1" applyFill="1"/>
    <xf numFmtId="168" fontId="8" fillId="0" borderId="0" xfId="18" applyNumberFormat="1" applyFill="1"/>
    <xf numFmtId="164" fontId="8" fillId="0" borderId="0" xfId="14" applyFont="1" applyFill="1"/>
    <xf numFmtId="168" fontId="1" fillId="0" borderId="138" xfId="18" applyNumberFormat="1" applyFont="1" applyFill="1" applyBorder="1"/>
    <xf numFmtId="188" fontId="24" fillId="0" borderId="2" xfId="18" applyNumberFormat="1" applyFont="1" applyFill="1" applyBorder="1" applyAlignment="1" applyProtection="1">
      <alignment horizontal="center"/>
      <protection locked="0"/>
    </xf>
    <xf numFmtId="164" fontId="23" fillId="0" borderId="2" xfId="14" applyFont="1" applyFill="1" applyBorder="1" applyAlignment="1" applyProtection="1">
      <protection locked="0"/>
    </xf>
    <xf numFmtId="164" fontId="24" fillId="0" borderId="2" xfId="14" applyNumberFormat="1" applyFont="1" applyFill="1" applyBorder="1" applyAlignment="1" applyProtection="1">
      <alignment horizontal="center"/>
      <protection locked="0"/>
    </xf>
    <xf numFmtId="3" fontId="23" fillId="0" borderId="2" xfId="18" applyNumberFormat="1" applyFont="1" applyFill="1" applyBorder="1" applyAlignment="1" applyProtection="1">
      <alignment horizontal="center"/>
      <protection locked="0"/>
    </xf>
    <xf numFmtId="171" fontId="23" fillId="5" borderId="2" xfId="14" applyNumberFormat="1" applyFont="1" applyFill="1" applyBorder="1" applyAlignment="1" applyProtection="1">
      <alignment horizontal="right"/>
      <protection locked="0"/>
    </xf>
    <xf numFmtId="164" fontId="23" fillId="0" borderId="2" xfId="14" applyNumberFormat="1" applyFont="1" applyFill="1" applyBorder="1" applyAlignment="1" applyProtection="1">
      <protection locked="0"/>
    </xf>
    <xf numFmtId="164" fontId="23" fillId="0" borderId="2" xfId="14" applyNumberFormat="1" applyFont="1" applyFill="1" applyBorder="1" applyAlignment="1" applyProtection="1">
      <alignment horizontal="center"/>
      <protection locked="0"/>
    </xf>
    <xf numFmtId="188" fontId="23" fillId="5" borderId="2" xfId="18" applyNumberFormat="1" applyFont="1" applyFill="1" applyBorder="1" applyAlignment="1" applyProtection="1">
      <alignment horizontal="center"/>
      <protection locked="0"/>
    </xf>
    <xf numFmtId="0" fontId="64" fillId="0" borderId="2" xfId="0" applyFont="1" applyBorder="1" applyAlignment="1">
      <alignment horizontal="center"/>
    </xf>
    <xf numFmtId="3" fontId="23" fillId="5" borderId="2" xfId="18" applyNumberFormat="1" applyFont="1" applyFill="1" applyBorder="1" applyAlignment="1" applyProtection="1">
      <alignment horizontal="center"/>
      <protection locked="0"/>
    </xf>
    <xf numFmtId="171" fontId="23" fillId="0" borderId="2" xfId="14" applyNumberFormat="1" applyFont="1" applyFill="1" applyBorder="1" applyAlignment="1" applyProtection="1">
      <alignment horizontal="right"/>
      <protection locked="0"/>
    </xf>
    <xf numFmtId="168" fontId="23" fillId="5" borderId="2" xfId="18" applyNumberFormat="1" applyFont="1" applyFill="1" applyBorder="1" applyAlignment="1" applyProtection="1">
      <alignment vertical="top"/>
      <protection locked="0"/>
    </xf>
    <xf numFmtId="168" fontId="24" fillId="5" borderId="2" xfId="18" applyNumberFormat="1" applyFont="1" applyFill="1" applyBorder="1" applyAlignment="1" applyProtection="1">
      <alignment horizontal="left"/>
      <protection locked="0"/>
    </xf>
    <xf numFmtId="188" fontId="23" fillId="0" borderId="2" xfId="18" applyNumberFormat="1" applyFont="1" applyFill="1" applyBorder="1" applyAlignment="1" applyProtection="1">
      <alignment horizontal="center"/>
      <protection locked="0"/>
    </xf>
    <xf numFmtId="171" fontId="23" fillId="0" borderId="2" xfId="18" applyNumberFormat="1" applyFont="1" applyFill="1" applyBorder="1" applyAlignment="1" applyProtection="1">
      <alignment vertical="top"/>
      <protection locked="0"/>
    </xf>
    <xf numFmtId="171" fontId="23" fillId="0" borderId="2" xfId="24" applyNumberFormat="1" applyFont="1" applyFill="1" applyBorder="1" applyAlignment="1" applyProtection="1">
      <alignment vertical="top"/>
      <protection locked="0"/>
    </xf>
    <xf numFmtId="164" fontId="24" fillId="0" borderId="2" xfId="14" applyFont="1" applyFill="1" applyBorder="1" applyAlignment="1" applyProtection="1">
      <protection locked="0"/>
    </xf>
    <xf numFmtId="168" fontId="24" fillId="0" borderId="2" xfId="18" applyNumberFormat="1" applyFont="1" applyFill="1" applyBorder="1" applyAlignment="1" applyProtection="1">
      <alignment horizontal="center"/>
      <protection locked="0"/>
    </xf>
    <xf numFmtId="164" fontId="23" fillId="0" borderId="2" xfId="14" applyFont="1" applyFill="1" applyBorder="1" applyAlignment="1" applyProtection="1">
      <alignment horizontal="right"/>
      <protection locked="0"/>
    </xf>
    <xf numFmtId="164" fontId="15" fillId="0" borderId="2" xfId="14" applyNumberFormat="1" applyFont="1" applyFill="1" applyBorder="1" applyAlignment="1" applyProtection="1">
      <alignment horizontal="center"/>
      <protection locked="0"/>
    </xf>
    <xf numFmtId="3" fontId="26" fillId="5" borderId="2" xfId="18" applyNumberFormat="1" applyFont="1" applyFill="1" applyBorder="1" applyAlignment="1" applyProtection="1">
      <alignment horizontal="center"/>
      <protection locked="0"/>
    </xf>
    <xf numFmtId="168" fontId="66" fillId="0" borderId="2" xfId="18" applyNumberFormat="1" applyFont="1" applyFill="1" applyBorder="1" applyAlignment="1" applyProtection="1">
      <alignment horizontal="right"/>
      <protection locked="0"/>
    </xf>
    <xf numFmtId="168" fontId="26" fillId="5" borderId="2" xfId="18" applyNumberFormat="1" applyFont="1" applyFill="1" applyBorder="1" applyAlignment="1" applyProtection="1">
      <alignment horizontal="center"/>
      <protection locked="0"/>
    </xf>
    <xf numFmtId="164" fontId="26" fillId="0" borderId="2" xfId="14" applyFont="1" applyFill="1" applyBorder="1" applyAlignment="1" applyProtection="1">
      <alignment horizontal="right"/>
      <protection locked="0"/>
    </xf>
    <xf numFmtId="164" fontId="26" fillId="0" borderId="2" xfId="14" applyFont="1" applyFill="1" applyBorder="1" applyAlignment="1" applyProtection="1">
      <protection locked="0"/>
    </xf>
    <xf numFmtId="164" fontId="66" fillId="0" borderId="2" xfId="14" applyNumberFormat="1" applyFont="1" applyFill="1" applyBorder="1" applyAlignment="1" applyProtection="1">
      <alignment horizontal="center"/>
      <protection locked="0"/>
    </xf>
    <xf numFmtId="168" fontId="23" fillId="0" borderId="4" xfId="18" applyNumberFormat="1" applyFont="1" applyFill="1" applyBorder="1" applyAlignment="1">
      <alignment horizontal="center" vertical="center" wrapText="1"/>
    </xf>
    <xf numFmtId="3" fontId="23" fillId="0" borderId="2" xfId="18" applyNumberFormat="1" applyFont="1" applyFill="1" applyBorder="1" applyAlignment="1" applyProtection="1">
      <alignment horizontal="left"/>
      <protection locked="0"/>
    </xf>
    <xf numFmtId="3" fontId="24" fillId="0" borderId="2" xfId="18" applyNumberFormat="1" applyFont="1" applyFill="1" applyBorder="1" applyAlignment="1" applyProtection="1">
      <alignment horizontal="left"/>
      <protection locked="0"/>
    </xf>
    <xf numFmtId="0" fontId="64" fillId="0" borderId="2" xfId="0" applyFont="1" applyBorder="1" applyAlignment="1">
      <alignment horizontal="left"/>
    </xf>
    <xf numFmtId="0" fontId="67" fillId="0" borderId="2" xfId="0" applyFont="1" applyBorder="1" applyAlignment="1">
      <alignment horizontal="center"/>
    </xf>
    <xf numFmtId="0" fontId="67" fillId="0" borderId="2" xfId="0" applyFont="1" applyBorder="1" applyAlignment="1">
      <alignment horizontal="left"/>
    </xf>
    <xf numFmtId="3" fontId="24" fillId="0" borderId="2" xfId="18" applyNumberFormat="1" applyFont="1" applyFill="1" applyBorder="1" applyAlignment="1" applyProtection="1">
      <alignment horizontal="center"/>
      <protection locked="0"/>
    </xf>
    <xf numFmtId="188" fontId="23" fillId="0" borderId="2" xfId="18" applyNumberFormat="1" applyFont="1" applyFill="1" applyBorder="1" applyAlignment="1" applyProtection="1">
      <alignment horizontal="left"/>
      <protection locked="0"/>
    </xf>
    <xf numFmtId="188" fontId="24" fillId="0" borderId="2" xfId="18" applyNumberFormat="1" applyFont="1" applyFill="1" applyBorder="1" applyAlignment="1" applyProtection="1">
      <alignment horizontal="left"/>
      <protection locked="0"/>
    </xf>
    <xf numFmtId="171" fontId="23" fillId="0" borderId="2" xfId="18" applyNumberFormat="1" applyFont="1" applyFill="1" applyBorder="1" applyAlignment="1" applyProtection="1">
      <alignment horizontal="center"/>
      <protection locked="0"/>
    </xf>
    <xf numFmtId="171" fontId="64" fillId="0" borderId="2" xfId="0" applyNumberFormat="1" applyFont="1" applyBorder="1" applyAlignment="1">
      <alignment horizontal="center"/>
    </xf>
    <xf numFmtId="188" fontId="23" fillId="5" borderId="2" xfId="18" applyNumberFormat="1" applyFont="1" applyFill="1" applyBorder="1" applyAlignment="1" applyProtection="1">
      <alignment horizontal="left"/>
      <protection locked="0"/>
    </xf>
    <xf numFmtId="188" fontId="24" fillId="5" borderId="2" xfId="18" applyNumberFormat="1" applyFont="1" applyFill="1" applyBorder="1" applyAlignment="1" applyProtection="1">
      <alignment horizontal="center"/>
      <protection locked="0"/>
    </xf>
    <xf numFmtId="188" fontId="24" fillId="5" borderId="2" xfId="18" applyNumberFormat="1" applyFont="1" applyFill="1" applyBorder="1" applyAlignment="1" applyProtection="1">
      <alignment horizontal="left"/>
      <protection locked="0"/>
    </xf>
    <xf numFmtId="3" fontId="23" fillId="5" borderId="2" xfId="18" applyNumberFormat="1" applyFont="1" applyFill="1" applyBorder="1" applyAlignment="1" applyProtection="1">
      <alignment horizontal="left"/>
      <protection locked="0"/>
    </xf>
    <xf numFmtId="171" fontId="23" fillId="5" borderId="2" xfId="18" applyNumberFormat="1" applyFont="1" applyFill="1" applyBorder="1" applyAlignment="1" applyProtection="1">
      <alignment horizontal="center"/>
      <protection locked="0"/>
    </xf>
    <xf numFmtId="171" fontId="23" fillId="0" borderId="2" xfId="18" applyNumberFormat="1" applyFont="1" applyFill="1" applyBorder="1" applyAlignment="1" applyProtection="1">
      <protection locked="0"/>
    </xf>
    <xf numFmtId="164" fontId="23" fillId="0" borderId="2" xfId="14" applyFont="1" applyFill="1" applyBorder="1" applyAlignment="1">
      <alignment vertical="center"/>
    </xf>
    <xf numFmtId="165" fontId="2" fillId="7" borderId="2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" fillId="7" borderId="101" xfId="0" applyFont="1" applyFill="1" applyBorder="1" applyAlignment="1">
      <alignment horizontal="left"/>
    </xf>
    <xf numFmtId="0" fontId="2" fillId="7" borderId="101" xfId="0" applyFont="1" applyFill="1" applyBorder="1" applyAlignment="1">
      <alignment horizontal="left" wrapText="1"/>
    </xf>
    <xf numFmtId="0" fontId="5" fillId="7" borderId="101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left"/>
    </xf>
    <xf numFmtId="0" fontId="5" fillId="7" borderId="10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/>
    </xf>
    <xf numFmtId="0" fontId="1" fillId="7" borderId="104" xfId="0" applyFont="1" applyFill="1" applyBorder="1" applyAlignment="1">
      <alignment horizontal="center" vertical="center" wrapText="1"/>
    </xf>
    <xf numFmtId="3" fontId="4" fillId="7" borderId="2" xfId="0" applyNumberFormat="1" applyFont="1" applyFill="1" applyBorder="1" applyAlignment="1">
      <alignment horizontal="center" vertical="center"/>
    </xf>
    <xf numFmtId="0" fontId="0" fillId="7" borderId="0" xfId="0" applyFill="1" applyBorder="1" applyAlignment="1">
      <alignment horizontal="left"/>
    </xf>
    <xf numFmtId="171" fontId="1" fillId="7" borderId="2" xfId="14" applyNumberFormat="1" applyFont="1" applyFill="1" applyBorder="1"/>
    <xf numFmtId="171" fontId="1" fillId="7" borderId="119" xfId="0" applyNumberFormat="1" applyFont="1" applyFill="1" applyBorder="1" applyAlignment="1"/>
    <xf numFmtId="0" fontId="1" fillId="7" borderId="2" xfId="0" applyFont="1" applyFill="1" applyBorder="1" applyAlignment="1"/>
    <xf numFmtId="3" fontId="1" fillId="7" borderId="101" xfId="0" applyNumberFormat="1" applyFont="1" applyFill="1" applyBorder="1" applyAlignment="1">
      <alignment horizontal="center"/>
    </xf>
    <xf numFmtId="3" fontId="1" fillId="7" borderId="101" xfId="0" applyNumberFormat="1" applyFont="1" applyFill="1" applyBorder="1" applyAlignment="1">
      <alignment horizontal="left"/>
    </xf>
    <xf numFmtId="0" fontId="64" fillId="7" borderId="101" xfId="0" applyFont="1" applyFill="1" applyBorder="1" applyAlignment="1">
      <alignment horizontal="center"/>
    </xf>
    <xf numFmtId="0" fontId="64" fillId="7" borderId="2" xfId="0" applyFont="1" applyFill="1" applyBorder="1" applyAlignment="1"/>
    <xf numFmtId="168" fontId="23" fillId="7" borderId="2" xfId="24" applyNumberFormat="1" applyFont="1" applyFill="1" applyBorder="1" applyAlignment="1" applyProtection="1">
      <alignment horizontal="center"/>
      <protection locked="0"/>
    </xf>
    <xf numFmtId="171" fontId="23" fillId="7" borderId="104" xfId="14" applyNumberFormat="1" applyFont="1" applyFill="1" applyBorder="1" applyAlignment="1">
      <alignment wrapText="1"/>
    </xf>
    <xf numFmtId="0" fontId="23" fillId="7" borderId="2" xfId="0" applyFont="1" applyFill="1" applyBorder="1" applyAlignment="1">
      <alignment horizontal="left" vertical="center"/>
    </xf>
    <xf numFmtId="0" fontId="9" fillId="7" borderId="75" xfId="3" applyFont="1" applyFill="1" applyBorder="1" applyAlignment="1">
      <alignment vertical="center"/>
    </xf>
    <xf numFmtId="178" fontId="44" fillId="7" borderId="2" xfId="0" applyNumberFormat="1" applyFont="1" applyFill="1" applyBorder="1" applyAlignment="1">
      <alignment horizontal="right" vertical="center"/>
    </xf>
    <xf numFmtId="2" fontId="5" fillId="5" borderId="144" xfId="0" applyNumberFormat="1" applyFont="1" applyFill="1" applyBorder="1" applyAlignment="1">
      <alignment vertical="center"/>
    </xf>
    <xf numFmtId="2" fontId="5" fillId="5" borderId="145" xfId="0" applyNumberFormat="1" applyFont="1" applyFill="1" applyBorder="1" applyAlignment="1">
      <alignment vertical="center"/>
    </xf>
    <xf numFmtId="2" fontId="5" fillId="5" borderId="119" xfId="0" applyNumberFormat="1" applyFont="1" applyFill="1" applyBorder="1" applyAlignment="1">
      <alignment vertical="center"/>
    </xf>
    <xf numFmtId="2" fontId="5" fillId="5" borderId="126" xfId="0" applyNumberFormat="1" applyFont="1" applyFill="1" applyBorder="1" applyAlignment="1">
      <alignment vertical="center"/>
    </xf>
    <xf numFmtId="178" fontId="5" fillId="5" borderId="119" xfId="0" applyNumberFormat="1" applyFont="1" applyFill="1" applyBorder="1" applyAlignment="1">
      <alignment horizontal="left" vertical="center"/>
    </xf>
    <xf numFmtId="0" fontId="1" fillId="7" borderId="75" xfId="0" applyFont="1" applyFill="1" applyBorder="1"/>
    <xf numFmtId="4" fontId="0" fillId="0" borderId="0" xfId="0" applyNumberFormat="1"/>
    <xf numFmtId="0" fontId="1" fillId="7" borderId="114" xfId="0" applyFont="1" applyFill="1" applyBorder="1" applyAlignment="1">
      <alignment horizontal="center"/>
    </xf>
    <xf numFmtId="164" fontId="5" fillId="7" borderId="115" xfId="0" applyNumberFormat="1" applyFont="1" applyFill="1" applyBorder="1"/>
    <xf numFmtId="0" fontId="1" fillId="7" borderId="2" xfId="0" applyFont="1" applyFill="1" applyBorder="1" applyAlignment="1">
      <alignment horizontal="center" vertical="center" wrapText="1"/>
    </xf>
    <xf numFmtId="0" fontId="13" fillId="7" borderId="101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/>
    </xf>
    <xf numFmtId="0" fontId="13" fillId="7" borderId="2" xfId="0" applyFont="1" applyFill="1" applyBorder="1" applyAlignment="1">
      <alignment horizontal="center" vertical="center" wrapText="1"/>
    </xf>
    <xf numFmtId="0" fontId="13" fillId="7" borderId="104" xfId="0" applyFont="1" applyFill="1" applyBorder="1" applyAlignment="1">
      <alignment horizontal="center" vertical="center" wrapText="1"/>
    </xf>
    <xf numFmtId="167" fontId="13" fillId="7" borderId="2" xfId="0" applyNumberFormat="1" applyFont="1" applyFill="1" applyBorder="1" applyAlignment="1">
      <alignment horizontal="center" vertical="center" wrapText="1"/>
    </xf>
    <xf numFmtId="167" fontId="13" fillId="7" borderId="2" xfId="0" applyNumberFormat="1" applyFont="1" applyFill="1" applyBorder="1" applyAlignment="1">
      <alignment horizontal="center"/>
    </xf>
    <xf numFmtId="185" fontId="2" fillId="7" borderId="2" xfId="0" applyNumberFormat="1" applyFont="1" applyFill="1" applyBorder="1" applyAlignment="1">
      <alignment horizontal="center"/>
    </xf>
    <xf numFmtId="0" fontId="13" fillId="0" borderId="1" xfId="3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167" fontId="13" fillId="0" borderId="2" xfId="3" applyNumberFormat="1" applyFont="1" applyBorder="1" applyAlignment="1">
      <alignment horizontal="center" vertical="center" wrapText="1"/>
    </xf>
    <xf numFmtId="0" fontId="41" fillId="7" borderId="64" xfId="3" applyFont="1" applyFill="1" applyBorder="1" applyAlignment="1">
      <alignment vertical="center"/>
    </xf>
    <xf numFmtId="0" fontId="41" fillId="7" borderId="65" xfId="3" applyFont="1" applyFill="1" applyBorder="1" applyAlignment="1">
      <alignment vertical="center"/>
    </xf>
    <xf numFmtId="0" fontId="42" fillId="7" borderId="65" xfId="3" applyFont="1" applyFill="1" applyBorder="1" applyAlignment="1">
      <alignment vertical="center"/>
    </xf>
    <xf numFmtId="167" fontId="13" fillId="7" borderId="66" xfId="3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/>
    </xf>
    <xf numFmtId="167" fontId="1" fillId="0" borderId="2" xfId="3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left"/>
    </xf>
    <xf numFmtId="167" fontId="5" fillId="0" borderId="2" xfId="3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left"/>
    </xf>
    <xf numFmtId="3" fontId="9" fillId="8" borderId="116" xfId="0" applyNumberFormat="1" applyFont="1" applyFill="1" applyBorder="1" applyAlignment="1">
      <alignment horizontal="left"/>
    </xf>
    <xf numFmtId="2" fontId="4" fillId="0" borderId="0" xfId="0" applyNumberFormat="1" applyFont="1" applyBorder="1"/>
    <xf numFmtId="173" fontId="71" fillId="7" borderId="135" xfId="0" applyNumberFormat="1" applyFont="1" applyFill="1" applyBorder="1" applyAlignment="1">
      <alignment horizontal="center" vertical="center" wrapText="1"/>
    </xf>
    <xf numFmtId="2" fontId="3" fillId="0" borderId="112" xfId="0" applyNumberFormat="1" applyFont="1" applyBorder="1" applyAlignment="1">
      <alignment horizontal="justify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173" fontId="71" fillId="7" borderId="137" xfId="0" applyNumberFormat="1" applyFont="1" applyFill="1" applyBorder="1" applyAlignment="1">
      <alignment horizontal="center" vertical="center" shrinkToFit="1"/>
    </xf>
    <xf numFmtId="2" fontId="4" fillId="0" borderId="112" xfId="0" applyNumberFormat="1" applyFont="1" applyBorder="1"/>
    <xf numFmtId="2" fontId="4" fillId="0" borderId="2" xfId="0" applyNumberFormat="1" applyFont="1" applyBorder="1"/>
    <xf numFmtId="4" fontId="71" fillId="12" borderId="139" xfId="0" applyNumberFormat="1" applyFont="1" applyFill="1" applyBorder="1" applyAlignment="1"/>
    <xf numFmtId="173" fontId="71" fillId="12" borderId="101" xfId="0" applyNumberFormat="1" applyFont="1" applyFill="1" applyBorder="1" applyAlignment="1">
      <alignment vertical="center"/>
    </xf>
    <xf numFmtId="49" fontId="71" fillId="12" borderId="2" xfId="0" applyNumberFormat="1" applyFont="1" applyFill="1" applyBorder="1" applyAlignment="1">
      <alignment horizontal="center" vertical="center"/>
    </xf>
    <xf numFmtId="173" fontId="71" fillId="12" borderId="2" xfId="0" applyNumberFormat="1" applyFont="1" applyFill="1" applyBorder="1" applyAlignment="1">
      <alignment vertical="center"/>
    </xf>
    <xf numFmtId="173" fontId="71" fillId="12" borderId="2" xfId="0" applyNumberFormat="1" applyFont="1" applyFill="1" applyBorder="1" applyAlignment="1">
      <alignment horizontal="center" vertical="center"/>
    </xf>
    <xf numFmtId="189" fontId="71" fillId="12" borderId="2" xfId="0" applyNumberFormat="1" applyFont="1" applyFill="1" applyBorder="1" applyAlignment="1">
      <alignment horizontal="center" vertical="center"/>
    </xf>
    <xf numFmtId="3" fontId="71" fillId="12" borderId="2" xfId="0" applyNumberFormat="1" applyFont="1" applyFill="1" applyBorder="1" applyAlignment="1">
      <alignment horizontal="center" vertical="center"/>
    </xf>
    <xf numFmtId="177" fontId="71" fillId="12" borderId="2" xfId="15" applyNumberFormat="1" applyFont="1" applyFill="1" applyBorder="1" applyAlignment="1" applyProtection="1">
      <alignment horizontal="center" vertical="center"/>
    </xf>
    <xf numFmtId="4" fontId="71" fillId="12" borderId="104" xfId="0" applyNumberFormat="1" applyFont="1" applyFill="1" applyBorder="1" applyAlignment="1">
      <alignment horizontal="center" vertical="center"/>
    </xf>
    <xf numFmtId="2" fontId="3" fillId="0" borderId="112" xfId="0" applyNumberFormat="1" applyFont="1" applyFill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178" fontId="3" fillId="0" borderId="2" xfId="0" applyNumberFormat="1" applyFont="1" applyBorder="1" applyAlignment="1">
      <alignment vertical="center"/>
    </xf>
    <xf numFmtId="177" fontId="3" fillId="0" borderId="2" xfId="15" applyNumberFormat="1" applyFont="1" applyBorder="1" applyAlignment="1" applyProtection="1">
      <alignment vertical="center"/>
    </xf>
    <xf numFmtId="173" fontId="72" fillId="12" borderId="101" xfId="0" applyNumberFormat="1" applyFont="1" applyFill="1" applyBorder="1" applyAlignment="1">
      <alignment vertical="center"/>
    </xf>
    <xf numFmtId="49" fontId="72" fillId="12" borderId="2" xfId="0" applyNumberFormat="1" applyFont="1" applyFill="1" applyBorder="1" applyAlignment="1">
      <alignment horizontal="center" vertical="center"/>
    </xf>
    <xf numFmtId="173" fontId="72" fillId="12" borderId="2" xfId="0" applyNumberFormat="1" applyFont="1" applyFill="1" applyBorder="1" applyAlignment="1">
      <alignment vertical="center"/>
    </xf>
    <xf numFmtId="173" fontId="72" fillId="12" borderId="2" xfId="0" applyNumberFormat="1" applyFont="1" applyFill="1" applyBorder="1" applyAlignment="1">
      <alignment horizontal="center" vertical="center"/>
    </xf>
    <xf numFmtId="189" fontId="72" fillId="12" borderId="2" xfId="0" applyNumberFormat="1" applyFont="1" applyFill="1" applyBorder="1" applyAlignment="1">
      <alignment horizontal="center" vertical="center"/>
    </xf>
    <xf numFmtId="3" fontId="72" fillId="12" borderId="2" xfId="0" applyNumberFormat="1" applyFont="1" applyFill="1" applyBorder="1" applyAlignment="1">
      <alignment horizontal="center" vertical="center"/>
    </xf>
    <xf numFmtId="177" fontId="72" fillId="12" borderId="2" xfId="15" applyNumberFormat="1" applyFont="1" applyFill="1" applyBorder="1" applyAlignment="1" applyProtection="1">
      <alignment horizontal="center" vertical="center"/>
    </xf>
    <xf numFmtId="4" fontId="72" fillId="12" borderId="104" xfId="0" applyNumberFormat="1" applyFont="1" applyFill="1" applyBorder="1" applyAlignment="1">
      <alignment horizontal="center" vertical="center"/>
    </xf>
    <xf numFmtId="2" fontId="4" fillId="0" borderId="112" xfId="0" applyNumberFormat="1" applyFont="1" applyBorder="1" applyAlignment="1">
      <alignment vertical="center"/>
    </xf>
    <xf numFmtId="2" fontId="4" fillId="0" borderId="2" xfId="0" applyNumberFormat="1" applyFont="1" applyBorder="1" applyAlignment="1">
      <alignment vertical="center"/>
    </xf>
    <xf numFmtId="178" fontId="4" fillId="0" borderId="2" xfId="0" applyNumberFormat="1" applyFont="1" applyBorder="1" applyAlignment="1">
      <alignment vertical="center"/>
    </xf>
    <xf numFmtId="177" fontId="4" fillId="0" borderId="2" xfId="15" applyNumberFormat="1" applyFont="1" applyBorder="1" applyAlignment="1" applyProtection="1">
      <alignment vertical="center"/>
    </xf>
    <xf numFmtId="49" fontId="72" fillId="12" borderId="113" xfId="0" applyNumberFormat="1" applyFont="1" applyFill="1" applyBorder="1" applyAlignment="1">
      <alignment horizontal="center" vertical="center"/>
    </xf>
    <xf numFmtId="0" fontId="72" fillId="13" borderId="2" xfId="0" applyFont="1" applyFill="1" applyBorder="1" applyAlignment="1">
      <alignment vertical="center"/>
    </xf>
    <xf numFmtId="173" fontId="72" fillId="12" borderId="112" xfId="0" applyNumberFormat="1" applyFont="1" applyFill="1" applyBorder="1" applyAlignment="1">
      <alignment horizontal="center" vertical="center"/>
    </xf>
    <xf numFmtId="2" fontId="4" fillId="0" borderId="112" xfId="0" applyNumberFormat="1" applyFont="1" applyFill="1" applyBorder="1" applyAlignment="1">
      <alignment vertical="center"/>
    </xf>
    <xf numFmtId="173" fontId="71" fillId="12" borderId="3" xfId="0" applyNumberFormat="1" applyFont="1" applyFill="1" applyBorder="1" applyAlignment="1">
      <alignment vertical="center"/>
    </xf>
    <xf numFmtId="173" fontId="72" fillId="12" borderId="2" xfId="0" applyNumberFormat="1" applyFont="1" applyFill="1" applyBorder="1"/>
    <xf numFmtId="177" fontId="72" fillId="12" borderId="2" xfId="15" applyNumberFormat="1" applyFont="1" applyFill="1" applyBorder="1" applyAlignment="1" applyProtection="1">
      <alignment horizontal="center"/>
    </xf>
    <xf numFmtId="2" fontId="4" fillId="0" borderId="112" xfId="0" applyNumberFormat="1" applyFont="1" applyFill="1" applyBorder="1"/>
    <xf numFmtId="173" fontId="72" fillId="12" borderId="113" xfId="0" applyNumberFormat="1" applyFont="1" applyFill="1" applyBorder="1" applyAlignment="1">
      <alignment vertical="center" wrapText="1"/>
    </xf>
    <xf numFmtId="173" fontId="72" fillId="12" borderId="2" xfId="0" applyNumberFormat="1" applyFont="1" applyFill="1" applyBorder="1" applyAlignment="1">
      <alignment horizontal="left" vertical="center" wrapText="1"/>
    </xf>
    <xf numFmtId="4" fontId="72" fillId="12" borderId="2" xfId="0" applyNumberFormat="1" applyFont="1" applyFill="1" applyBorder="1" applyAlignment="1">
      <alignment horizontal="center" vertical="center"/>
    </xf>
    <xf numFmtId="2" fontId="3" fillId="0" borderId="112" xfId="0" applyNumberFormat="1" applyFont="1" applyFill="1" applyBorder="1"/>
    <xf numFmtId="2" fontId="3" fillId="0" borderId="2" xfId="0" applyNumberFormat="1" applyFont="1" applyBorder="1"/>
    <xf numFmtId="173" fontId="71" fillId="12" borderId="2" xfId="0" applyNumberFormat="1" applyFont="1" applyFill="1" applyBorder="1" applyAlignment="1">
      <alignment horizontal="left" vertical="center" wrapText="1"/>
    </xf>
    <xf numFmtId="4" fontId="71" fillId="12" borderId="2" xfId="0" applyNumberFormat="1" applyFont="1" applyFill="1" applyBorder="1" applyAlignment="1">
      <alignment horizontal="center" vertical="center"/>
    </xf>
    <xf numFmtId="4" fontId="72" fillId="12" borderId="139" xfId="0" applyNumberFormat="1" applyFont="1" applyFill="1" applyBorder="1" applyAlignment="1">
      <alignment horizontal="center" vertical="center"/>
    </xf>
    <xf numFmtId="0" fontId="72" fillId="0" borderId="0" xfId="0" applyFont="1"/>
    <xf numFmtId="4" fontId="71" fillId="15" borderId="105" xfId="0" applyNumberFormat="1" applyFont="1" applyFill="1" applyBorder="1" applyAlignment="1">
      <alignment horizontal="center" vertical="center"/>
    </xf>
    <xf numFmtId="4" fontId="71" fillId="14" borderId="139" xfId="0" applyNumberFormat="1" applyFont="1" applyFill="1" applyBorder="1" applyAlignment="1">
      <alignment vertical="center"/>
    </xf>
    <xf numFmtId="178" fontId="4" fillId="0" borderId="112" xfId="0" applyNumberFormat="1" applyFont="1" applyBorder="1"/>
    <xf numFmtId="178" fontId="4" fillId="0" borderId="2" xfId="0" applyNumberFormat="1" applyFont="1" applyBorder="1"/>
    <xf numFmtId="0" fontId="63" fillId="0" borderId="164" xfId="0" applyFont="1" applyBorder="1" applyAlignment="1">
      <alignment horizontal="center"/>
    </xf>
    <xf numFmtId="0" fontId="63" fillId="0" borderId="165" xfId="0" applyFont="1" applyBorder="1" applyAlignment="1"/>
    <xf numFmtId="0" fontId="63" fillId="0" borderId="169" xfId="0" applyFont="1" applyBorder="1" applyAlignment="1">
      <alignment horizontal="center"/>
    </xf>
    <xf numFmtId="0" fontId="63" fillId="0" borderId="170" xfId="0" applyFont="1" applyBorder="1" applyAlignment="1">
      <alignment horizontal="center"/>
    </xf>
    <xf numFmtId="0" fontId="75" fillId="0" borderId="171" xfId="0" applyFont="1" applyBorder="1" applyAlignment="1">
      <alignment horizontal="center"/>
    </xf>
    <xf numFmtId="4" fontId="75" fillId="0" borderId="172" xfId="0" applyNumberFormat="1" applyFont="1" applyBorder="1" applyAlignment="1">
      <alignment horizontal="center"/>
    </xf>
    <xf numFmtId="4" fontId="74" fillId="0" borderId="172" xfId="0" applyNumberFormat="1" applyFont="1" applyBorder="1" applyAlignment="1">
      <alignment horizontal="center"/>
    </xf>
    <xf numFmtId="0" fontId="74" fillId="0" borderId="172" xfId="0" applyFont="1" applyBorder="1" applyAlignment="1">
      <alignment horizontal="center"/>
    </xf>
    <xf numFmtId="0" fontId="60" fillId="0" borderId="173" xfId="0" applyFont="1" applyBorder="1" applyAlignment="1">
      <alignment horizontal="center"/>
    </xf>
    <xf numFmtId="0" fontId="74" fillId="0" borderId="174" xfId="0" applyFont="1" applyBorder="1" applyAlignment="1">
      <alignment horizontal="center"/>
    </xf>
    <xf numFmtId="4" fontId="74" fillId="0" borderId="178" xfId="0" applyNumberFormat="1" applyFont="1" applyBorder="1" applyAlignment="1">
      <alignment horizontal="center"/>
    </xf>
    <xf numFmtId="0" fontId="74" fillId="0" borderId="178" xfId="0" applyFont="1" applyBorder="1" applyAlignment="1">
      <alignment horizontal="center"/>
    </xf>
    <xf numFmtId="0" fontId="60" fillId="0" borderId="179" xfId="0" applyFont="1" applyBorder="1" applyAlignment="1">
      <alignment horizontal="center"/>
    </xf>
    <xf numFmtId="1" fontId="74" fillId="0" borderId="175" xfId="0" applyNumberFormat="1" applyFont="1" applyBorder="1" applyAlignment="1">
      <alignment horizontal="left"/>
    </xf>
    <xf numFmtId="0" fontId="74" fillId="0" borderId="176" xfId="0" applyFont="1" applyBorder="1"/>
    <xf numFmtId="0" fontId="74" fillId="0" borderId="177" xfId="0" applyFont="1" applyBorder="1"/>
    <xf numFmtId="0" fontId="74" fillId="16" borderId="174" xfId="0" applyFont="1" applyFill="1" applyBorder="1" applyAlignment="1">
      <alignment horizontal="center"/>
    </xf>
    <xf numFmtId="4" fontId="74" fillId="16" borderId="178" xfId="0" applyNumberFormat="1" applyFont="1" applyFill="1" applyBorder="1" applyAlignment="1">
      <alignment horizontal="center"/>
    </xf>
    <xf numFmtId="4" fontId="75" fillId="16" borderId="178" xfId="0" applyNumberFormat="1" applyFont="1" applyFill="1" applyBorder="1" applyAlignment="1">
      <alignment horizontal="center"/>
    </xf>
    <xf numFmtId="0" fontId="74" fillId="16" borderId="178" xfId="0" applyFont="1" applyFill="1" applyBorder="1" applyAlignment="1">
      <alignment horizontal="center"/>
    </xf>
    <xf numFmtId="0" fontId="60" fillId="16" borderId="179" xfId="0" applyFont="1" applyFill="1" applyBorder="1" applyAlignment="1">
      <alignment horizontal="center"/>
    </xf>
    <xf numFmtId="0" fontId="75" fillId="0" borderId="174" xfId="0" applyFont="1" applyBorder="1" applyAlignment="1">
      <alignment horizontal="center"/>
    </xf>
    <xf numFmtId="4" fontId="75" fillId="0" borderId="178" xfId="0" applyNumberFormat="1" applyFont="1" applyBorder="1" applyAlignment="1">
      <alignment horizontal="center"/>
    </xf>
    <xf numFmtId="0" fontId="76" fillId="16" borderId="174" xfId="0" applyFont="1" applyFill="1" applyBorder="1" applyAlignment="1">
      <alignment horizontal="center"/>
    </xf>
    <xf numFmtId="4" fontId="76" fillId="16" borderId="178" xfId="0" applyNumberFormat="1" applyFont="1" applyFill="1" applyBorder="1" applyAlignment="1">
      <alignment horizontal="center"/>
    </xf>
    <xf numFmtId="4" fontId="77" fillId="16" borderId="178" xfId="0" applyNumberFormat="1" applyFont="1" applyFill="1" applyBorder="1" applyAlignment="1">
      <alignment horizontal="center"/>
    </xf>
    <xf numFmtId="0" fontId="76" fillId="16" borderId="178" xfId="0" applyFont="1" applyFill="1" applyBorder="1" applyAlignment="1">
      <alignment horizontal="center"/>
    </xf>
    <xf numFmtId="0" fontId="69" fillId="16" borderId="179" xfId="0" applyFont="1" applyFill="1" applyBorder="1" applyAlignment="1">
      <alignment horizontal="center"/>
    </xf>
    <xf numFmtId="164" fontId="74" fillId="0" borderId="178" xfId="0" applyNumberFormat="1" applyFont="1" applyBorder="1" applyAlignment="1">
      <alignment horizontal="center"/>
    </xf>
    <xf numFmtId="4" fontId="74" fillId="17" borderId="178" xfId="0" applyNumberFormat="1" applyFont="1" applyFill="1" applyBorder="1" applyAlignment="1">
      <alignment horizontal="center"/>
    </xf>
    <xf numFmtId="4" fontId="74" fillId="0" borderId="178" xfId="0" applyNumberFormat="1" applyFont="1" applyBorder="1" applyAlignment="1">
      <alignment horizontal="right"/>
    </xf>
    <xf numFmtId="4" fontId="74" fillId="0" borderId="178" xfId="0" applyNumberFormat="1" applyFont="1" applyBorder="1" applyAlignment="1"/>
    <xf numFmtId="0" fontId="74" fillId="0" borderId="178" xfId="0" applyFont="1" applyBorder="1" applyAlignment="1"/>
    <xf numFmtId="0" fontId="74" fillId="0" borderId="179" xfId="0" applyFont="1" applyBorder="1" applyAlignment="1"/>
    <xf numFmtId="0" fontId="0" fillId="7" borderId="72" xfId="0" applyFont="1" applyFill="1" applyBorder="1" applyAlignment="1"/>
    <xf numFmtId="0" fontId="74" fillId="7" borderId="73" xfId="0" applyFont="1" applyFill="1" applyBorder="1" applyAlignment="1"/>
    <xf numFmtId="0" fontId="0" fillId="7" borderId="73" xfId="0" applyFont="1" applyFill="1" applyBorder="1" applyAlignment="1"/>
    <xf numFmtId="0" fontId="74" fillId="7" borderId="74" xfId="0" applyFont="1" applyFill="1" applyBorder="1" applyAlignment="1"/>
    <xf numFmtId="0" fontId="1" fillId="7" borderId="75" xfId="0" applyFont="1" applyFill="1" applyBorder="1" applyAlignment="1"/>
    <xf numFmtId="0" fontId="74" fillId="7" borderId="0" xfId="0" applyFont="1" applyFill="1" applyBorder="1" applyAlignment="1"/>
    <xf numFmtId="0" fontId="0" fillId="7" borderId="0" xfId="0" applyFont="1" applyFill="1" applyBorder="1" applyAlignment="1"/>
    <xf numFmtId="0" fontId="74" fillId="7" borderId="76" xfId="0" applyFont="1" applyFill="1" applyBorder="1" applyAlignment="1"/>
    <xf numFmtId="0" fontId="0" fillId="7" borderId="75" xfId="0" applyFont="1" applyFill="1" applyBorder="1" applyAlignment="1"/>
    <xf numFmtId="4" fontId="79" fillId="7" borderId="0" xfId="0" applyNumberFormat="1" applyFont="1" applyFill="1" applyBorder="1" applyAlignment="1"/>
    <xf numFmtId="0" fontId="78" fillId="7" borderId="76" xfId="0" applyFont="1" applyFill="1" applyBorder="1" applyAlignment="1"/>
    <xf numFmtId="40" fontId="74" fillId="7" borderId="0" xfId="0" applyNumberFormat="1" applyFont="1" applyFill="1" applyBorder="1" applyAlignment="1"/>
    <xf numFmtId="0" fontId="0" fillId="7" borderId="77" xfId="0" applyFont="1" applyFill="1" applyBorder="1" applyAlignment="1"/>
    <xf numFmtId="0" fontId="0" fillId="7" borderId="52" xfId="0" applyFont="1" applyFill="1" applyBorder="1" applyAlignment="1"/>
    <xf numFmtId="40" fontId="74" fillId="7" borderId="52" xfId="0" applyNumberFormat="1" applyFont="1" applyFill="1" applyBorder="1" applyAlignment="1"/>
    <xf numFmtId="0" fontId="74" fillId="7" borderId="52" xfId="0" applyFont="1" applyFill="1" applyBorder="1" applyAlignment="1"/>
    <xf numFmtId="0" fontId="74" fillId="7" borderId="78" xfId="0" applyFont="1" applyFill="1" applyBorder="1" applyAlignment="1"/>
    <xf numFmtId="2" fontId="5" fillId="7" borderId="77" xfId="0" applyNumberFormat="1" applyFont="1" applyFill="1" applyBorder="1" applyAlignment="1">
      <alignment horizontal="left" vertical="center"/>
    </xf>
    <xf numFmtId="0" fontId="0" fillId="7" borderId="52" xfId="0" applyFill="1" applyBorder="1" applyAlignment="1">
      <alignment vertical="center"/>
    </xf>
    <xf numFmtId="10" fontId="58" fillId="0" borderId="112" xfId="0" applyNumberFormat="1" applyFont="1" applyFill="1" applyBorder="1" applyAlignment="1"/>
    <xf numFmtId="0" fontId="1" fillId="7" borderId="2" xfId="0" applyFont="1" applyFill="1" applyBorder="1" applyAlignment="1">
      <alignment horizontal="left"/>
    </xf>
    <xf numFmtId="0" fontId="64" fillId="0" borderId="2" xfId="0" applyFont="1" applyBorder="1" applyAlignment="1">
      <alignment horizontal="left" vertical="center"/>
    </xf>
    <xf numFmtId="0" fontId="64" fillId="0" borderId="2" xfId="0" applyFont="1" applyBorder="1" applyAlignment="1">
      <alignment horizontal="center" vertical="center"/>
    </xf>
    <xf numFmtId="10" fontId="64" fillId="0" borderId="2" xfId="0" applyNumberFormat="1" applyFont="1" applyBorder="1" applyAlignment="1">
      <alignment horizontal="center" vertical="center"/>
    </xf>
    <xf numFmtId="17" fontId="83" fillId="0" borderId="2" xfId="0" applyNumberFormat="1" applyFont="1" applyBorder="1" applyAlignment="1" applyProtection="1">
      <alignment vertical="center"/>
    </xf>
    <xf numFmtId="0" fontId="40" fillId="7" borderId="4" xfId="14" applyNumberFormat="1" applyFont="1" applyFill="1" applyBorder="1" applyProtection="1"/>
    <xf numFmtId="2" fontId="5" fillId="7" borderId="3" xfId="0" applyNumberFormat="1" applyFont="1" applyFill="1" applyBorder="1" applyAlignment="1" applyProtection="1">
      <alignment horizontal="center" vertical="center" wrapText="1"/>
    </xf>
    <xf numFmtId="39" fontId="1" fillId="0" borderId="33" xfId="21" applyNumberFormat="1" applyFont="1" applyBorder="1" applyProtection="1"/>
    <xf numFmtId="39" fontId="1" fillId="0" borderId="33" xfId="14" applyNumberFormat="1" applyFont="1" applyBorder="1" applyProtection="1"/>
    <xf numFmtId="39" fontId="5" fillId="0" borderId="2" xfId="14" applyNumberFormat="1" applyFont="1" applyBorder="1" applyProtection="1"/>
    <xf numFmtId="0" fontId="9" fillId="0" borderId="2" xfId="0" applyFont="1" applyBorder="1" applyAlignment="1" applyProtection="1">
      <alignment horizontal="center" vertical="center" wrapText="1"/>
    </xf>
    <xf numFmtId="4" fontId="1" fillId="0" borderId="33" xfId="14" applyNumberFormat="1" applyFont="1" applyBorder="1" applyAlignment="1" applyProtection="1">
      <alignment vertical="center" wrapText="1"/>
    </xf>
    <xf numFmtId="4" fontId="1" fillId="0" borderId="71" xfId="14" applyNumberFormat="1" applyFont="1" applyBorder="1" applyAlignment="1" applyProtection="1">
      <alignment vertical="center" wrapText="1"/>
    </xf>
    <xf numFmtId="39" fontId="5" fillId="0" borderId="2" xfId="14" applyNumberFormat="1" applyFont="1" applyBorder="1" applyAlignment="1" applyProtection="1">
      <alignment vertical="center" wrapText="1"/>
    </xf>
    <xf numFmtId="4" fontId="1" fillId="0" borderId="34" xfId="14" applyNumberFormat="1" applyFont="1" applyBorder="1" applyAlignment="1" applyProtection="1">
      <alignment vertical="center" wrapText="1"/>
    </xf>
    <xf numFmtId="164" fontId="1" fillId="0" borderId="190" xfId="14" applyFont="1" applyBorder="1" applyAlignment="1" applyProtection="1">
      <alignment vertical="center" wrapText="1"/>
    </xf>
    <xf numFmtId="164" fontId="1" fillId="0" borderId="33" xfId="14" applyFont="1" applyBorder="1" applyAlignment="1" applyProtection="1">
      <alignment vertical="center" wrapText="1"/>
    </xf>
    <xf numFmtId="164" fontId="1" fillId="0" borderId="71" xfId="14" applyFont="1" applyBorder="1" applyAlignment="1" applyProtection="1">
      <alignment vertical="center" wrapText="1"/>
    </xf>
    <xf numFmtId="164" fontId="5" fillId="0" borderId="2" xfId="14" applyFont="1" applyBorder="1" applyAlignment="1" applyProtection="1">
      <alignment vertical="center" wrapText="1"/>
    </xf>
    <xf numFmtId="39" fontId="5" fillId="7" borderId="2" xfId="14" applyNumberFormat="1" applyFont="1" applyFill="1" applyBorder="1" applyAlignment="1" applyProtection="1">
      <alignment horizontal="right" vertical="center" wrapText="1"/>
    </xf>
    <xf numFmtId="0" fontId="5" fillId="7" borderId="64" xfId="0" applyFont="1" applyFill="1" applyBorder="1" applyAlignment="1" applyProtection="1">
      <alignment vertical="center"/>
    </xf>
    <xf numFmtId="0" fontId="5" fillId="7" borderId="65" xfId="0" applyFont="1" applyFill="1" applyBorder="1" applyAlignment="1" applyProtection="1">
      <alignment vertical="center"/>
    </xf>
    <xf numFmtId="0" fontId="5" fillId="7" borderId="65" xfId="0" applyFont="1" applyFill="1" applyBorder="1" applyAlignment="1" applyProtection="1">
      <alignment horizontal="right" vertical="center"/>
    </xf>
    <xf numFmtId="164" fontId="5" fillId="7" borderId="2" xfId="14" applyFont="1" applyFill="1" applyBorder="1" applyAlignment="1" applyProtection="1">
      <alignment horizontal="right" vertical="center" wrapText="1"/>
    </xf>
    <xf numFmtId="17" fontId="83" fillId="0" borderId="112" xfId="0" applyNumberFormat="1" applyFont="1" applyBorder="1" applyAlignment="1" applyProtection="1">
      <alignment vertical="center"/>
    </xf>
    <xf numFmtId="0" fontId="67" fillId="0" borderId="2" xfId="0" applyFont="1" applyBorder="1" applyAlignment="1">
      <alignment horizontal="left" vertical="center"/>
    </xf>
    <xf numFmtId="10" fontId="80" fillId="7" borderId="0" xfId="0" applyNumberFormat="1" applyFont="1" applyFill="1" applyBorder="1" applyAlignment="1">
      <alignment horizontal="center" vertical="center"/>
    </xf>
    <xf numFmtId="10" fontId="78" fillId="7" borderId="0" xfId="0" applyNumberFormat="1" applyFont="1" applyFill="1" applyBorder="1" applyAlignment="1">
      <alignment horizontal="center" vertical="center"/>
    </xf>
    <xf numFmtId="3" fontId="9" fillId="8" borderId="64" xfId="0" applyNumberFormat="1" applyFont="1" applyFill="1" applyBorder="1" applyAlignment="1">
      <alignment horizontal="left"/>
    </xf>
    <xf numFmtId="3" fontId="9" fillId="7" borderId="64" xfId="0" applyNumberFormat="1" applyFont="1" applyFill="1" applyBorder="1" applyAlignment="1">
      <alignment horizontal="left"/>
    </xf>
    <xf numFmtId="0" fontId="9" fillId="7" borderId="123" xfId="0" applyNumberFormat="1" applyFont="1" applyFill="1" applyBorder="1" applyAlignment="1">
      <alignment horizontal="center" vertical="center"/>
    </xf>
    <xf numFmtId="164" fontId="8" fillId="7" borderId="139" xfId="0" applyNumberFormat="1" applyFont="1" applyFill="1" applyBorder="1" applyAlignment="1"/>
    <xf numFmtId="164" fontId="8" fillId="7" borderId="104" xfId="22" applyFont="1" applyFill="1" applyBorder="1" applyAlignment="1">
      <alignment horizont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center" wrapText="1"/>
    </xf>
    <xf numFmtId="0" fontId="5" fillId="2" borderId="10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03" xfId="0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5" fillId="7" borderId="64" xfId="0" applyNumberFormat="1" applyFont="1" applyFill="1" applyBorder="1" applyAlignment="1">
      <alignment horizontal="center" vertical="center"/>
    </xf>
    <xf numFmtId="0" fontId="55" fillId="7" borderId="65" xfId="0" applyNumberFormat="1" applyFont="1" applyFill="1" applyBorder="1" applyAlignment="1">
      <alignment horizontal="center" vertical="center"/>
    </xf>
    <xf numFmtId="0" fontId="55" fillId="7" borderId="66" xfId="0" applyNumberFormat="1" applyFont="1" applyFill="1" applyBorder="1" applyAlignment="1">
      <alignment horizontal="center" vertical="center"/>
    </xf>
    <xf numFmtId="0" fontId="55" fillId="7" borderId="67" xfId="0" applyNumberFormat="1" applyFont="1" applyFill="1" applyBorder="1" applyAlignment="1">
      <alignment horizontal="center" vertical="center"/>
    </xf>
    <xf numFmtId="0" fontId="55" fillId="7" borderId="68" xfId="0" applyNumberFormat="1" applyFont="1" applyFill="1" applyBorder="1" applyAlignment="1">
      <alignment horizontal="center" vertical="center"/>
    </xf>
    <xf numFmtId="0" fontId="55" fillId="7" borderId="69" xfId="0" applyNumberFormat="1" applyFont="1" applyFill="1" applyBorder="1" applyAlignment="1">
      <alignment horizontal="center" vertical="center"/>
    </xf>
    <xf numFmtId="168" fontId="1" fillId="7" borderId="113" xfId="18" applyNumberFormat="1" applyFont="1" applyFill="1" applyBorder="1" applyAlignment="1">
      <alignment horizontal="left" vertical="center"/>
    </xf>
    <xf numFmtId="168" fontId="1" fillId="7" borderId="112" xfId="18" applyNumberFormat="1" applyFont="1" applyFill="1" applyBorder="1" applyAlignment="1">
      <alignment horizontal="left" vertical="center"/>
    </xf>
    <xf numFmtId="0" fontId="54" fillId="7" borderId="113" xfId="0" applyNumberFormat="1" applyFont="1" applyFill="1" applyBorder="1" applyAlignment="1">
      <alignment horizontal="left" vertical="center"/>
    </xf>
    <xf numFmtId="0" fontId="54" fillId="7" borderId="112" xfId="0" applyNumberFormat="1" applyFont="1" applyFill="1" applyBorder="1" applyAlignment="1">
      <alignment horizontal="left" vertical="center"/>
    </xf>
    <xf numFmtId="168" fontId="1" fillId="7" borderId="2" xfId="18" applyNumberFormat="1" applyFont="1" applyFill="1" applyBorder="1" applyAlignment="1">
      <alignment horizontal="left" vertical="center" wrapText="1"/>
    </xf>
    <xf numFmtId="0" fontId="56" fillId="7" borderId="4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56" fillId="7" borderId="4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44" fillId="7" borderId="64" xfId="0" applyNumberFormat="1" applyFont="1" applyFill="1" applyBorder="1" applyAlignment="1">
      <alignment horizontal="left" vertical="center"/>
    </xf>
    <xf numFmtId="0" fontId="44" fillId="7" borderId="66" xfId="0" applyNumberFormat="1" applyFont="1" applyFill="1" applyBorder="1" applyAlignment="1">
      <alignment horizontal="left" vertical="center"/>
    </xf>
    <xf numFmtId="0" fontId="44" fillId="7" borderId="102" xfId="0" applyNumberFormat="1" applyFont="1" applyFill="1" applyBorder="1" applyAlignment="1">
      <alignment horizontal="left" vertical="center"/>
    </xf>
    <xf numFmtId="0" fontId="44" fillId="7" borderId="103" xfId="0" applyNumberFormat="1" applyFont="1" applyFill="1" applyBorder="1" applyAlignment="1">
      <alignment horizontal="left" vertical="center"/>
    </xf>
    <xf numFmtId="0" fontId="44" fillId="7" borderId="67" xfId="0" applyNumberFormat="1" applyFont="1" applyFill="1" applyBorder="1" applyAlignment="1">
      <alignment horizontal="left" vertical="center"/>
    </xf>
    <xf numFmtId="0" fontId="44" fillId="7" borderId="69" xfId="0" applyNumberFormat="1" applyFont="1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56" fillId="7" borderId="113" xfId="0" applyNumberFormat="1" applyFont="1" applyFill="1" applyBorder="1" applyAlignment="1">
      <alignment horizontal="center" vertical="center"/>
    </xf>
    <xf numFmtId="0" fontId="56" fillId="7" borderId="112" xfId="0" applyFont="1" applyFill="1" applyBorder="1" applyAlignment="1">
      <alignment horizontal="center" vertical="center"/>
    </xf>
    <xf numFmtId="3" fontId="56" fillId="7" borderId="4" xfId="0" applyNumberFormat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169" fontId="23" fillId="5" borderId="107" xfId="13" applyNumberFormat="1" applyFont="1" applyFill="1" applyBorder="1" applyAlignment="1">
      <alignment horizontal="center" vertical="center" wrapText="1"/>
    </xf>
    <xf numFmtId="169" fontId="23" fillId="5" borderId="39" xfId="13" applyNumberFormat="1" applyFont="1" applyFill="1" applyBorder="1" applyAlignment="1">
      <alignment horizontal="center" vertical="center" wrapText="1"/>
    </xf>
    <xf numFmtId="169" fontId="24" fillId="5" borderId="22" xfId="13" applyNumberFormat="1" applyFont="1" applyFill="1" applyBorder="1" applyAlignment="1">
      <alignment horizontal="center" vertical="center" wrapText="1"/>
    </xf>
    <xf numFmtId="169" fontId="24" fillId="5" borderId="23" xfId="13" applyNumberFormat="1" applyFont="1" applyFill="1" applyBorder="1" applyAlignment="1">
      <alignment horizontal="center" vertical="center" wrapText="1"/>
    </xf>
    <xf numFmtId="49" fontId="9" fillId="0" borderId="14" xfId="3" applyNumberFormat="1" applyFont="1" applyFill="1" applyBorder="1" applyAlignment="1">
      <alignment horizontal="left"/>
    </xf>
    <xf numFmtId="49" fontId="9" fillId="0" borderId="0" xfId="3" applyNumberFormat="1" applyFont="1" applyFill="1" applyBorder="1" applyAlignment="1">
      <alignment horizontal="left"/>
    </xf>
    <xf numFmtId="168" fontId="22" fillId="5" borderId="108" xfId="3" applyNumberFormat="1" applyFont="1" applyFill="1" applyBorder="1" applyAlignment="1">
      <alignment horizontal="center" vertical="center" wrapText="1"/>
    </xf>
    <xf numFmtId="168" fontId="22" fillId="5" borderId="109" xfId="3" applyNumberFormat="1" applyFont="1" applyFill="1" applyBorder="1" applyAlignment="1">
      <alignment horizontal="center" vertical="center" wrapText="1"/>
    </xf>
    <xf numFmtId="168" fontId="22" fillId="5" borderId="110" xfId="3" applyNumberFormat="1" applyFont="1" applyFill="1" applyBorder="1" applyAlignment="1">
      <alignment horizontal="center" vertical="center" wrapText="1"/>
    </xf>
    <xf numFmtId="168" fontId="15" fillId="2" borderId="21" xfId="3" applyNumberFormat="1" applyFont="1" applyFill="1" applyBorder="1" applyAlignment="1">
      <alignment horizontal="center" vertical="center" wrapText="1"/>
    </xf>
    <xf numFmtId="0" fontId="9" fillId="2" borderId="25" xfId="3" applyFont="1" applyFill="1" applyBorder="1" applyAlignment="1">
      <alignment horizontal="center"/>
    </xf>
    <xf numFmtId="169" fontId="24" fillId="5" borderId="22" xfId="11" applyNumberFormat="1" applyFont="1" applyFill="1" applyBorder="1" applyAlignment="1">
      <alignment horizontal="center" vertical="center" wrapText="1"/>
    </xf>
    <xf numFmtId="169" fontId="24" fillId="5" borderId="23" xfId="11" applyNumberFormat="1" applyFont="1" applyFill="1" applyBorder="1" applyAlignment="1">
      <alignment horizontal="center" vertical="center" wrapText="1"/>
    </xf>
    <xf numFmtId="169" fontId="23" fillId="5" borderId="107" xfId="11" applyNumberFormat="1" applyFont="1" applyFill="1" applyBorder="1" applyAlignment="1">
      <alignment horizontal="center" vertical="center" wrapText="1"/>
    </xf>
    <xf numFmtId="169" fontId="23" fillId="5" borderId="39" xfId="11" applyNumberFormat="1" applyFont="1" applyFill="1" applyBorder="1" applyAlignment="1">
      <alignment horizontal="center" vertical="center" wrapText="1"/>
    </xf>
    <xf numFmtId="0" fontId="36" fillId="0" borderId="116" xfId="0" applyFont="1" applyBorder="1" applyAlignment="1">
      <alignment horizontal="left" vertical="center"/>
    </xf>
    <xf numFmtId="0" fontId="36" fillId="0" borderId="73" xfId="0" applyFont="1" applyBorder="1" applyAlignment="1">
      <alignment horizontal="left" vertical="center"/>
    </xf>
    <xf numFmtId="0" fontId="36" fillId="0" borderId="74" xfId="0" applyFont="1" applyBorder="1" applyAlignment="1">
      <alignment horizontal="left" vertical="center"/>
    </xf>
    <xf numFmtId="0" fontId="36" fillId="0" borderId="102" xfId="0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6" fillId="0" borderId="76" xfId="0" applyFont="1" applyBorder="1" applyAlignment="1">
      <alignment horizontal="left" vertical="center"/>
    </xf>
    <xf numFmtId="0" fontId="36" fillId="0" borderId="75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76" xfId="0" applyFont="1" applyBorder="1" applyAlignment="1">
      <alignment horizontal="center" vertical="center"/>
    </xf>
    <xf numFmtId="0" fontId="36" fillId="0" borderId="106" xfId="0" applyFont="1" applyBorder="1" applyAlignment="1">
      <alignment horizontal="center" vertical="center"/>
    </xf>
    <xf numFmtId="0" fontId="36" fillId="0" borderId="68" xfId="0" applyFont="1" applyBorder="1" applyAlignment="1">
      <alignment horizontal="center" vertical="center"/>
    </xf>
    <xf numFmtId="0" fontId="36" fillId="0" borderId="99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5" fillId="0" borderId="65" xfId="0" applyFont="1" applyBorder="1" applyAlignment="1">
      <alignment horizontal="left" vertical="center"/>
    </xf>
    <xf numFmtId="0" fontId="5" fillId="0" borderId="111" xfId="0" applyFont="1" applyBorder="1" applyAlignment="1">
      <alignment horizontal="left" vertical="center"/>
    </xf>
    <xf numFmtId="0" fontId="13" fillId="0" borderId="101" xfId="0" applyFont="1" applyBorder="1" applyAlignment="1">
      <alignment horizontal="center" vertical="center"/>
    </xf>
    <xf numFmtId="0" fontId="13" fillId="0" borderId="114" xfId="0" applyFont="1" applyBorder="1" applyAlignment="1">
      <alignment horizontal="center" vertical="center"/>
    </xf>
    <xf numFmtId="171" fontId="2" fillId="0" borderId="2" xfId="14" applyNumberFormat="1" applyFont="1" applyBorder="1" applyAlignment="1">
      <alignment horizontal="center" vertical="center"/>
    </xf>
    <xf numFmtId="171" fontId="2" fillId="0" borderId="104" xfId="14" applyNumberFormat="1" applyFont="1" applyBorder="1" applyAlignment="1">
      <alignment horizontal="center" vertical="center"/>
    </xf>
    <xf numFmtId="171" fontId="2" fillId="0" borderId="100" xfId="14" applyNumberFormat="1" applyFont="1" applyBorder="1" applyAlignment="1">
      <alignment horizontal="center" vertical="center"/>
    </xf>
    <xf numFmtId="171" fontId="2" fillId="0" borderId="115" xfId="14" applyNumberFormat="1" applyFont="1" applyBorder="1" applyAlignment="1">
      <alignment horizontal="center" vertical="center"/>
    </xf>
    <xf numFmtId="0" fontId="36" fillId="0" borderId="67" xfId="0" applyFont="1" applyBorder="1" applyAlignment="1">
      <alignment horizontal="left" vertical="center"/>
    </xf>
    <xf numFmtId="0" fontId="36" fillId="0" borderId="68" xfId="0" applyFont="1" applyBorder="1" applyAlignment="1">
      <alignment horizontal="left"/>
    </xf>
    <xf numFmtId="0" fontId="36" fillId="0" borderId="99" xfId="0" applyFont="1" applyBorder="1" applyAlignment="1">
      <alignment horizontal="left"/>
    </xf>
    <xf numFmtId="171" fontId="2" fillId="0" borderId="2" xfId="14" applyNumberFormat="1" applyFont="1" applyFill="1" applyBorder="1" applyAlignment="1">
      <alignment horizontal="center" vertical="center"/>
    </xf>
    <xf numFmtId="171" fontId="2" fillId="0" borderId="104" xfId="14" applyNumberFormat="1" applyFont="1" applyFill="1" applyBorder="1" applyAlignment="1">
      <alignment horizontal="center" vertical="center"/>
    </xf>
    <xf numFmtId="164" fontId="2" fillId="0" borderId="4" xfId="14" applyNumberFormat="1" applyFont="1" applyFill="1" applyBorder="1" applyAlignment="1">
      <alignment horizontal="center" vertical="center"/>
    </xf>
    <xf numFmtId="164" fontId="2" fillId="0" borderId="3" xfId="14" applyNumberFormat="1" applyFont="1" applyFill="1" applyBorder="1" applyAlignment="1">
      <alignment horizontal="center" vertical="center"/>
    </xf>
    <xf numFmtId="164" fontId="0" fillId="0" borderId="0" xfId="14" applyFont="1" applyAlignment="1">
      <alignment horizontal="center" vertical="center"/>
    </xf>
    <xf numFmtId="0" fontId="13" fillId="0" borderId="98" xfId="0" applyFont="1" applyFill="1" applyBorder="1" applyAlignment="1">
      <alignment horizontal="left" vertical="center"/>
    </xf>
    <xf numFmtId="0" fontId="13" fillId="0" borderId="66" xfId="0" applyFont="1" applyFill="1" applyBorder="1" applyAlignment="1">
      <alignment horizontal="left" vertical="center"/>
    </xf>
    <xf numFmtId="0" fontId="13" fillId="0" borderId="106" xfId="0" applyFont="1" applyFill="1" applyBorder="1" applyAlignment="1">
      <alignment horizontal="left" vertical="center"/>
    </xf>
    <xf numFmtId="0" fontId="13" fillId="0" borderId="69" xfId="0" applyFont="1" applyFill="1" applyBorder="1" applyAlignment="1">
      <alignment horizontal="left" vertical="center"/>
    </xf>
    <xf numFmtId="164" fontId="2" fillId="0" borderId="2" xfId="14" applyNumberFormat="1" applyFont="1" applyFill="1" applyBorder="1" applyAlignment="1">
      <alignment horizontal="center" vertical="center"/>
    </xf>
    <xf numFmtId="0" fontId="5" fillId="0" borderId="10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65" xfId="0" applyNumberFormat="1" applyFont="1" applyFill="1" applyBorder="1" applyAlignment="1">
      <alignment horizontal="center" vertical="center"/>
    </xf>
    <xf numFmtId="49" fontId="5" fillId="0" borderId="66" xfId="0" applyNumberFormat="1" applyFont="1" applyFill="1" applyBorder="1" applyAlignment="1">
      <alignment horizontal="center" vertical="center"/>
    </xf>
    <xf numFmtId="49" fontId="5" fillId="0" borderId="68" xfId="0" applyNumberFormat="1" applyFont="1" applyFill="1" applyBorder="1" applyAlignment="1">
      <alignment horizontal="center" vertical="center"/>
    </xf>
    <xf numFmtId="49" fontId="5" fillId="0" borderId="69" xfId="0" applyNumberFormat="1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/>
    </xf>
    <xf numFmtId="0" fontId="0" fillId="0" borderId="111" xfId="0" applyFill="1" applyBorder="1" applyAlignment="1">
      <alignment horizontal="center" vertical="center"/>
    </xf>
    <xf numFmtId="0" fontId="0" fillId="0" borderId="102" xfId="0" applyFill="1" applyBorder="1" applyAlignment="1">
      <alignment horizontal="center" vertical="center"/>
    </xf>
    <xf numFmtId="0" fontId="0" fillId="0" borderId="76" xfId="0" applyFill="1" applyBorder="1" applyAlignment="1">
      <alignment horizontal="center" vertical="center"/>
    </xf>
    <xf numFmtId="0" fontId="0" fillId="0" borderId="67" xfId="0" applyFill="1" applyBorder="1" applyAlignment="1">
      <alignment horizontal="center" vertical="center"/>
    </xf>
    <xf numFmtId="0" fontId="0" fillId="0" borderId="99" xfId="0" applyFill="1" applyBorder="1" applyAlignment="1">
      <alignment horizontal="center" vertical="center"/>
    </xf>
    <xf numFmtId="0" fontId="5" fillId="0" borderId="112" xfId="0" applyFont="1" applyFill="1" applyBorder="1" applyAlignment="1">
      <alignment horizontal="center" vertical="center"/>
    </xf>
    <xf numFmtId="0" fontId="5" fillId="0" borderId="113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0" fillId="0" borderId="0" xfId="14" applyFont="1" applyBorder="1" applyAlignment="1">
      <alignment horizontal="left" vertical="center"/>
    </xf>
    <xf numFmtId="164" fontId="2" fillId="0" borderId="2" xfId="14" quotePrefix="1" applyNumberFormat="1" applyFont="1" applyFill="1" applyBorder="1" applyAlignment="1">
      <alignment horizontal="center" vertical="center"/>
    </xf>
    <xf numFmtId="0" fontId="5" fillId="0" borderId="10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65" xfId="0" applyNumberFormat="1" applyFont="1" applyBorder="1" applyAlignment="1">
      <alignment horizontal="center" vertical="center"/>
    </xf>
    <xf numFmtId="49" fontId="5" fillId="0" borderId="66" xfId="0" applyNumberFormat="1" applyFont="1" applyBorder="1" applyAlignment="1">
      <alignment horizontal="center" vertical="center"/>
    </xf>
    <xf numFmtId="49" fontId="5" fillId="0" borderId="68" xfId="0" applyNumberFormat="1" applyFont="1" applyBorder="1" applyAlignment="1">
      <alignment horizontal="center" vertical="center"/>
    </xf>
    <xf numFmtId="49" fontId="5" fillId="0" borderId="69" xfId="0" applyNumberFormat="1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5" fillId="0" borderId="112" xfId="0" applyFont="1" applyBorder="1" applyAlignment="1">
      <alignment horizontal="center" vertical="center"/>
    </xf>
    <xf numFmtId="0" fontId="5" fillId="0" borderId="113" xfId="0" applyFont="1" applyBorder="1" applyAlignment="1">
      <alignment horizontal="center" vertical="center"/>
    </xf>
    <xf numFmtId="49" fontId="29" fillId="8" borderId="2" xfId="3" applyNumberFormat="1" applyFont="1" applyFill="1" applyBorder="1" applyAlignment="1">
      <alignment horizontal="right" vertical="center"/>
    </xf>
    <xf numFmtId="0" fontId="30" fillId="8" borderId="2" xfId="0" applyFont="1" applyFill="1" applyBorder="1" applyAlignment="1">
      <alignment horizontal="right" vertical="center"/>
    </xf>
    <xf numFmtId="0" fontId="33" fillId="0" borderId="102" xfId="0" applyFont="1" applyBorder="1" applyAlignment="1">
      <alignment wrapText="1"/>
    </xf>
    <xf numFmtId="0" fontId="33" fillId="0" borderId="0" xfId="0" applyFont="1" applyBorder="1" applyAlignment="1">
      <alignment wrapText="1"/>
    </xf>
    <xf numFmtId="0" fontId="33" fillId="0" borderId="103" xfId="0" applyFont="1" applyBorder="1" applyAlignment="1">
      <alignment wrapText="1"/>
    </xf>
    <xf numFmtId="0" fontId="31" fillId="0" borderId="30" xfId="0" applyFont="1" applyBorder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0" fontId="31" fillId="0" borderId="29" xfId="0" applyFont="1" applyBorder="1" applyAlignment="1">
      <alignment horizontal="left" vertical="center"/>
    </xf>
    <xf numFmtId="0" fontId="31" fillId="0" borderId="70" xfId="0" applyFont="1" applyBorder="1" applyAlignment="1">
      <alignment horizontal="left" vertical="center"/>
    </xf>
    <xf numFmtId="0" fontId="31" fillId="0" borderId="48" xfId="0" applyFont="1" applyBorder="1" applyAlignment="1">
      <alignment horizontal="left" vertical="center"/>
    </xf>
    <xf numFmtId="0" fontId="31" fillId="0" borderId="118" xfId="0" applyFont="1" applyBorder="1" applyAlignment="1">
      <alignment horizontal="left" vertical="center"/>
    </xf>
    <xf numFmtId="4" fontId="32" fillId="0" borderId="113" xfId="0" applyNumberFormat="1" applyFont="1" applyFill="1" applyBorder="1" applyAlignment="1">
      <alignment horizontal="center" vertical="center"/>
    </xf>
    <xf numFmtId="0" fontId="0" fillId="0" borderId="119" xfId="0" applyFill="1" applyBorder="1" applyAlignment="1"/>
    <xf numFmtId="0" fontId="0" fillId="0" borderId="112" xfId="0" applyFill="1" applyBorder="1" applyAlignment="1"/>
    <xf numFmtId="49" fontId="29" fillId="8" borderId="2" xfId="3" applyNumberFormat="1" applyFont="1" applyFill="1" applyBorder="1" applyAlignment="1">
      <alignment horizontal="right" vertical="center" wrapText="1"/>
    </xf>
    <xf numFmtId="0" fontId="30" fillId="8" borderId="2" xfId="0" applyFont="1" applyFill="1" applyBorder="1" applyAlignment="1">
      <alignment horizontal="right" vertical="center" wrapText="1"/>
    </xf>
    <xf numFmtId="0" fontId="28" fillId="8" borderId="64" xfId="0" applyFont="1" applyFill="1" applyBorder="1" applyAlignment="1">
      <alignment horizontal="center" vertical="center" wrapText="1" shrinkToFit="1"/>
    </xf>
    <xf numFmtId="0" fontId="0" fillId="0" borderId="6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6" fillId="8" borderId="64" xfId="0" applyFont="1" applyFill="1" applyBorder="1" applyAlignment="1">
      <alignment horizontal="center" vertical="center" wrapText="1"/>
    </xf>
    <xf numFmtId="0" fontId="29" fillId="8" borderId="4" xfId="0" applyFont="1" applyFill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0" fontId="29" fillId="8" borderId="64" xfId="0" applyFont="1" applyFill="1" applyBorder="1" applyAlignment="1">
      <alignment horizontal="center" vertical="center" wrapText="1"/>
    </xf>
    <xf numFmtId="0" fontId="29" fillId="8" borderId="65" xfId="0" applyFont="1" applyFill="1" applyBorder="1" applyAlignment="1">
      <alignment horizontal="center" vertical="center" wrapText="1"/>
    </xf>
    <xf numFmtId="0" fontId="30" fillId="8" borderId="67" xfId="0" applyFont="1" applyFill="1" applyBorder="1" applyAlignment="1">
      <alignment horizontal="center" vertical="center" wrapText="1"/>
    </xf>
    <xf numFmtId="0" fontId="30" fillId="8" borderId="68" xfId="0" applyFont="1" applyFill="1" applyBorder="1" applyAlignment="1">
      <alignment horizontal="center" vertical="center" wrapText="1"/>
    </xf>
    <xf numFmtId="171" fontId="29" fillId="8" borderId="4" xfId="0" applyNumberFormat="1" applyFont="1" applyFill="1" applyBorder="1" applyAlignment="1">
      <alignment horizontal="center" vertical="center" wrapText="1"/>
    </xf>
    <xf numFmtId="171" fontId="29" fillId="8" borderId="3" xfId="0" applyNumberFormat="1" applyFont="1" applyFill="1" applyBorder="1" applyAlignment="1">
      <alignment horizontal="center" vertical="center" wrapText="1"/>
    </xf>
    <xf numFmtId="0" fontId="29" fillId="8" borderId="67" xfId="0" applyFont="1" applyFill="1" applyBorder="1" applyAlignment="1">
      <alignment horizontal="center" vertical="center" wrapText="1"/>
    </xf>
    <xf numFmtId="0" fontId="31" fillId="0" borderId="30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29" xfId="0" applyFont="1" applyBorder="1" applyAlignment="1">
      <alignment horizontal="left" vertical="center" wrapText="1"/>
    </xf>
    <xf numFmtId="0" fontId="31" fillId="0" borderId="30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29" fillId="8" borderId="2" xfId="0" applyFont="1" applyFill="1" applyBorder="1" applyAlignment="1">
      <alignment horizontal="right" vertical="center"/>
    </xf>
    <xf numFmtId="0" fontId="8" fillId="8" borderId="2" xfId="0" applyFont="1" applyFill="1" applyBorder="1" applyAlignment="1"/>
    <xf numFmtId="0" fontId="31" fillId="0" borderId="120" xfId="0" applyFont="1" applyBorder="1" applyAlignment="1">
      <alignment horizontal="left" vertical="center" wrapText="1"/>
    </xf>
    <xf numFmtId="0" fontId="31" fillId="0" borderId="121" xfId="0" applyFont="1" applyBorder="1" applyAlignment="1">
      <alignment horizontal="left" vertical="center" wrapText="1"/>
    </xf>
    <xf numFmtId="0" fontId="31" fillId="0" borderId="122" xfId="0" applyFont="1" applyBorder="1" applyAlignment="1">
      <alignment horizontal="left" vertical="center" wrapText="1"/>
    </xf>
    <xf numFmtId="0" fontId="31" fillId="0" borderId="120" xfId="0" applyFont="1" applyBorder="1" applyAlignment="1">
      <alignment horizontal="center" vertical="center" wrapText="1"/>
    </xf>
    <xf numFmtId="0" fontId="0" fillId="0" borderId="121" xfId="0" applyBorder="1" applyAlignment="1">
      <alignment vertical="center" wrapText="1"/>
    </xf>
    <xf numFmtId="0" fontId="0" fillId="0" borderId="122" xfId="0" applyBorder="1" applyAlignment="1">
      <alignment vertical="center" wrapText="1"/>
    </xf>
    <xf numFmtId="0" fontId="32" fillId="8" borderId="113" xfId="0" applyFont="1" applyFill="1" applyBorder="1" applyAlignment="1">
      <alignment horizontal="right"/>
    </xf>
    <xf numFmtId="0" fontId="32" fillId="8" borderId="119" xfId="0" applyFont="1" applyFill="1" applyBorder="1" applyAlignment="1">
      <alignment horizontal="right"/>
    </xf>
    <xf numFmtId="0" fontId="32" fillId="8" borderId="112" xfId="0" applyFont="1" applyFill="1" applyBorder="1" applyAlignment="1">
      <alignment horizontal="right"/>
    </xf>
    <xf numFmtId="0" fontId="31" fillId="0" borderId="102" xfId="0" applyFont="1" applyBorder="1" applyAlignment="1"/>
    <xf numFmtId="0" fontId="31" fillId="0" borderId="0" xfId="0" applyFont="1" applyBorder="1" applyAlignment="1"/>
    <xf numFmtId="0" fontId="31" fillId="0" borderId="103" xfId="0" applyFont="1" applyBorder="1" applyAlignment="1"/>
    <xf numFmtId="0" fontId="31" fillId="0" borderId="70" xfId="0" applyFont="1" applyBorder="1" applyAlignment="1">
      <alignment horizontal="left" vertical="center" wrapText="1"/>
    </xf>
    <xf numFmtId="0" fontId="31" fillId="0" borderId="48" xfId="0" applyFont="1" applyBorder="1" applyAlignment="1">
      <alignment horizontal="left" vertical="center" wrapText="1"/>
    </xf>
    <xf numFmtId="0" fontId="31" fillId="0" borderId="118" xfId="0" applyFont="1" applyBorder="1" applyAlignment="1">
      <alignment horizontal="left" vertical="center" wrapText="1"/>
    </xf>
    <xf numFmtId="0" fontId="32" fillId="8" borderId="113" xfId="0" applyFont="1" applyFill="1" applyBorder="1" applyAlignment="1">
      <alignment horizontal="right" vertical="center"/>
    </xf>
    <xf numFmtId="0" fontId="32" fillId="8" borderId="119" xfId="0" applyFont="1" applyFill="1" applyBorder="1" applyAlignment="1">
      <alignment horizontal="right" vertical="center"/>
    </xf>
    <xf numFmtId="0" fontId="32" fillId="8" borderId="112" xfId="0" applyFont="1" applyFill="1" applyBorder="1" applyAlignment="1">
      <alignment horizontal="right" vertical="center"/>
    </xf>
    <xf numFmtId="0" fontId="31" fillId="0" borderId="120" xfId="0" applyFont="1" applyBorder="1" applyAlignment="1">
      <alignment horizontal="left" vertical="center"/>
    </xf>
    <xf numFmtId="0" fontId="31" fillId="0" borderId="121" xfId="0" applyFont="1" applyBorder="1" applyAlignment="1">
      <alignment horizontal="left" vertical="center"/>
    </xf>
    <xf numFmtId="0" fontId="31" fillId="0" borderId="122" xfId="0" applyFont="1" applyBorder="1" applyAlignment="1">
      <alignment horizontal="left" vertical="center"/>
    </xf>
    <xf numFmtId="0" fontId="0" fillId="0" borderId="65" xfId="0" applyBorder="1" applyAlignment="1">
      <alignment horizontal="center" vertical="center" wrapText="1" shrinkToFit="1"/>
    </xf>
    <xf numFmtId="0" fontId="0" fillId="0" borderId="67" xfId="0" applyBorder="1" applyAlignment="1">
      <alignment horizontal="center" vertical="center" wrapText="1" shrinkToFit="1"/>
    </xf>
    <xf numFmtId="0" fontId="0" fillId="0" borderId="68" xfId="0" applyBorder="1" applyAlignment="1">
      <alignment horizontal="center" vertical="center" wrapText="1" shrinkToFit="1"/>
    </xf>
    <xf numFmtId="0" fontId="33" fillId="8" borderId="64" xfId="0" applyFont="1" applyFill="1" applyBorder="1" applyAlignment="1">
      <alignment horizontal="center" vertical="center" wrapText="1" shrinkToFit="1"/>
    </xf>
    <xf numFmtId="0" fontId="6" fillId="0" borderId="66" xfId="0" applyFont="1" applyBorder="1" applyAlignment="1">
      <alignment horizontal="center" vertical="center" wrapText="1" shrinkToFit="1"/>
    </xf>
    <xf numFmtId="0" fontId="6" fillId="0" borderId="67" xfId="0" applyFont="1" applyBorder="1" applyAlignment="1">
      <alignment horizontal="center" vertical="center" wrapText="1" shrinkToFit="1"/>
    </xf>
    <xf numFmtId="0" fontId="6" fillId="0" borderId="69" xfId="0" applyFont="1" applyBorder="1" applyAlignment="1">
      <alignment horizontal="center" vertical="center" wrapText="1" shrinkToFit="1"/>
    </xf>
    <xf numFmtId="0" fontId="29" fillId="8" borderId="1" xfId="0" applyFont="1" applyFill="1" applyBorder="1" applyAlignment="1">
      <alignment horizontal="center" vertical="center" wrapText="1"/>
    </xf>
    <xf numFmtId="0" fontId="29" fillId="8" borderId="66" xfId="0" applyFont="1" applyFill="1" applyBorder="1" applyAlignment="1">
      <alignment horizontal="center" vertical="center" wrapText="1"/>
    </xf>
    <xf numFmtId="0" fontId="29" fillId="8" borderId="102" xfId="0" applyFont="1" applyFill="1" applyBorder="1" applyAlignment="1">
      <alignment horizontal="center" vertical="center" wrapText="1"/>
    </xf>
    <xf numFmtId="0" fontId="29" fillId="8" borderId="0" xfId="0" applyFont="1" applyFill="1" applyBorder="1" applyAlignment="1">
      <alignment horizontal="center" vertical="center" wrapText="1"/>
    </xf>
    <xf numFmtId="0" fontId="29" fillId="8" borderId="103" xfId="0" applyFont="1" applyFill="1" applyBorder="1" applyAlignment="1">
      <alignment horizontal="center" vertical="center" wrapText="1"/>
    </xf>
    <xf numFmtId="0" fontId="29" fillId="8" borderId="68" xfId="0" applyFont="1" applyFill="1" applyBorder="1" applyAlignment="1">
      <alignment horizontal="center" vertical="center" wrapText="1"/>
    </xf>
    <xf numFmtId="0" fontId="29" fillId="8" borderId="69" xfId="0" applyFont="1" applyFill="1" applyBorder="1" applyAlignment="1">
      <alignment horizontal="center" vertical="center" wrapText="1"/>
    </xf>
    <xf numFmtId="171" fontId="29" fillId="8" borderId="1" xfId="0" applyNumberFormat="1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right"/>
    </xf>
    <xf numFmtId="0" fontId="33" fillId="0" borderId="102" xfId="0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33" fillId="0" borderId="103" xfId="0" applyFont="1" applyBorder="1" applyAlignment="1">
      <alignment horizontal="left" vertical="center"/>
    </xf>
    <xf numFmtId="0" fontId="33" fillId="0" borderId="67" xfId="0" applyFont="1" applyBorder="1" applyAlignment="1">
      <alignment horizontal="left" vertical="center"/>
    </xf>
    <xf numFmtId="0" fontId="33" fillId="0" borderId="68" xfId="0" applyFont="1" applyBorder="1" applyAlignment="1">
      <alignment horizontal="left" vertical="center"/>
    </xf>
    <xf numFmtId="0" fontId="33" fillId="0" borderId="69" xfId="0" applyFont="1" applyBorder="1" applyAlignment="1">
      <alignment horizontal="left" vertical="center"/>
    </xf>
    <xf numFmtId="0" fontId="7" fillId="8" borderId="64" xfId="0" applyFont="1" applyFill="1" applyBorder="1" applyAlignment="1">
      <alignment horizontal="center" vertical="center" wrapText="1"/>
    </xf>
    <xf numFmtId="0" fontId="7" fillId="8" borderId="65" xfId="0" applyFont="1" applyFill="1" applyBorder="1" applyAlignment="1">
      <alignment horizontal="center" vertical="center" wrapText="1"/>
    </xf>
    <xf numFmtId="0" fontId="7" fillId="8" borderId="66" xfId="0" applyFont="1" applyFill="1" applyBorder="1" applyAlignment="1">
      <alignment horizontal="center" vertical="center" wrapText="1"/>
    </xf>
    <xf numFmtId="0" fontId="7" fillId="8" borderId="102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7" fillId="8" borderId="103" xfId="0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right" vertical="center"/>
    </xf>
    <xf numFmtId="0" fontId="31" fillId="0" borderId="30" xfId="3" applyFont="1" applyBorder="1" applyAlignment="1">
      <alignment horizontal="left" vertical="center" wrapText="1"/>
    </xf>
    <xf numFmtId="0" fontId="31" fillId="0" borderId="6" xfId="3" applyFont="1" applyBorder="1" applyAlignment="1">
      <alignment horizontal="left" vertical="center" wrapText="1"/>
    </xf>
    <xf numFmtId="0" fontId="31" fillId="0" borderId="29" xfId="3" applyFont="1" applyBorder="1" applyAlignment="1">
      <alignment horizontal="left" vertical="center" wrapText="1"/>
    </xf>
    <xf numFmtId="0" fontId="31" fillId="0" borderId="120" xfId="3" applyFont="1" applyBorder="1" applyAlignment="1">
      <alignment horizontal="left" vertical="center" wrapText="1"/>
    </xf>
    <xf numFmtId="0" fontId="31" fillId="0" borderId="121" xfId="3" applyFont="1" applyBorder="1" applyAlignment="1">
      <alignment horizontal="left" vertical="center" wrapText="1"/>
    </xf>
    <xf numFmtId="0" fontId="31" fillId="0" borderId="122" xfId="3" applyFont="1" applyBorder="1" applyAlignment="1">
      <alignment horizontal="left" vertical="center" wrapText="1"/>
    </xf>
    <xf numFmtId="0" fontId="30" fillId="8" borderId="69" xfId="0" applyFont="1" applyFill="1" applyBorder="1" applyAlignment="1">
      <alignment horizontal="center" vertical="center" wrapText="1"/>
    </xf>
    <xf numFmtId="0" fontId="31" fillId="0" borderId="67" xfId="0" applyFont="1" applyBorder="1" applyAlignment="1">
      <alignment horizontal="left" vertical="center" wrapText="1"/>
    </xf>
    <xf numFmtId="0" fontId="0" fillId="0" borderId="68" xfId="0" applyBorder="1" applyAlignment="1">
      <alignment wrapText="1"/>
    </xf>
    <xf numFmtId="0" fontId="0" fillId="0" borderId="69" xfId="0" applyBorder="1" applyAlignment="1">
      <alignment wrapText="1"/>
    </xf>
    <xf numFmtId="0" fontId="33" fillId="0" borderId="67" xfId="0" applyFont="1" applyBorder="1" applyAlignment="1"/>
    <xf numFmtId="0" fontId="33" fillId="0" borderId="68" xfId="0" applyFont="1" applyBorder="1" applyAlignment="1"/>
    <xf numFmtId="0" fontId="33" fillId="0" borderId="69" xfId="0" applyFont="1" applyBorder="1" applyAlignment="1"/>
    <xf numFmtId="0" fontId="0" fillId="8" borderId="119" xfId="0" applyFill="1" applyBorder="1" applyAlignment="1"/>
    <xf numFmtId="0" fontId="0" fillId="8" borderId="112" xfId="0" applyFill="1" applyBorder="1" applyAlignment="1"/>
    <xf numFmtId="0" fontId="0" fillId="0" borderId="2" xfId="0" applyBorder="1" applyAlignment="1"/>
    <xf numFmtId="0" fontId="33" fillId="0" borderId="102" xfId="0" applyFont="1" applyBorder="1" applyAlignment="1"/>
    <xf numFmtId="0" fontId="33" fillId="0" borderId="0" xfId="0" applyFont="1" applyBorder="1" applyAlignment="1"/>
    <xf numFmtId="0" fontId="33" fillId="0" borderId="103" xfId="0" applyFont="1" applyBorder="1" applyAlignment="1"/>
    <xf numFmtId="0" fontId="31" fillId="0" borderId="30" xfId="3" applyFont="1" applyBorder="1" applyAlignment="1">
      <alignment horizontal="left" vertical="center"/>
    </xf>
    <xf numFmtId="0" fontId="31" fillId="0" borderId="6" xfId="3" applyFont="1" applyBorder="1" applyAlignment="1">
      <alignment horizontal="left" vertical="center"/>
    </xf>
    <xf numFmtId="0" fontId="31" fillId="0" borderId="29" xfId="3" applyFont="1" applyBorder="1" applyAlignment="1">
      <alignment horizontal="left" vertical="center"/>
    </xf>
    <xf numFmtId="0" fontId="31" fillId="0" borderId="30" xfId="3" applyFont="1" applyFill="1" applyBorder="1" applyAlignment="1">
      <alignment horizontal="left" vertical="center"/>
    </xf>
    <xf numFmtId="0" fontId="31" fillId="0" borderId="6" xfId="3" applyFont="1" applyFill="1" applyBorder="1" applyAlignment="1">
      <alignment horizontal="left" vertical="center"/>
    </xf>
    <xf numFmtId="0" fontId="31" fillId="0" borderId="29" xfId="3" applyFont="1" applyFill="1" applyBorder="1" applyAlignment="1">
      <alignment horizontal="left" vertical="center"/>
    </xf>
    <xf numFmtId="0" fontId="31" fillId="0" borderId="102" xfId="3" applyFont="1" applyBorder="1" applyAlignment="1">
      <alignment horizontal="left" vertical="center"/>
    </xf>
    <xf numFmtId="0" fontId="31" fillId="0" borderId="0" xfId="3" applyFont="1" applyBorder="1" applyAlignment="1">
      <alignment horizontal="left" vertical="center"/>
    </xf>
    <xf numFmtId="0" fontId="31" fillId="0" borderId="103" xfId="3" applyFont="1" applyBorder="1" applyAlignment="1">
      <alignment horizontal="left" vertical="center"/>
    </xf>
    <xf numFmtId="0" fontId="31" fillId="0" borderId="30" xfId="3" applyFont="1" applyBorder="1"/>
    <xf numFmtId="0" fontId="31" fillId="0" borderId="6" xfId="3" applyFont="1" applyBorder="1"/>
    <xf numFmtId="0" fontId="31" fillId="0" borderId="29" xfId="3" applyFont="1" applyBorder="1"/>
    <xf numFmtId="0" fontId="35" fillId="8" borderId="65" xfId="0" applyFont="1" applyFill="1" applyBorder="1" applyAlignment="1">
      <alignment vertical="center" wrapText="1"/>
    </xf>
    <xf numFmtId="0" fontId="35" fillId="8" borderId="66" xfId="0" applyFont="1" applyFill="1" applyBorder="1" applyAlignment="1">
      <alignment vertical="center" wrapText="1"/>
    </xf>
    <xf numFmtId="0" fontId="35" fillId="8" borderId="67" xfId="0" applyFont="1" applyFill="1" applyBorder="1" applyAlignment="1">
      <alignment vertical="center" wrapText="1"/>
    </xf>
    <xf numFmtId="0" fontId="35" fillId="8" borderId="68" xfId="0" applyFont="1" applyFill="1" applyBorder="1" applyAlignment="1">
      <alignment vertical="center" wrapText="1"/>
    </xf>
    <xf numFmtId="0" fontId="35" fillId="8" borderId="69" xfId="0" applyFont="1" applyFill="1" applyBorder="1" applyAlignment="1">
      <alignment vertical="center" wrapText="1"/>
    </xf>
    <xf numFmtId="0" fontId="0" fillId="0" borderId="10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0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1" fontId="29" fillId="8" borderId="66" xfId="0" applyNumberFormat="1" applyFont="1" applyFill="1" applyBorder="1" applyAlignment="1">
      <alignment horizontal="center" vertical="center" wrapText="1"/>
    </xf>
    <xf numFmtId="168" fontId="23" fillId="0" borderId="101" xfId="18" applyNumberFormat="1" applyFont="1" applyFill="1" applyBorder="1" applyAlignment="1">
      <alignment horizontal="center" vertical="center" wrapText="1"/>
    </xf>
    <xf numFmtId="168" fontId="23" fillId="0" borderId="2" xfId="18" applyNumberFormat="1" applyFont="1" applyFill="1" applyBorder="1" applyAlignment="1">
      <alignment horizontal="center" vertical="center"/>
    </xf>
    <xf numFmtId="0" fontId="23" fillId="0" borderId="2" xfId="23" applyFont="1" applyFill="1" applyBorder="1" applyAlignment="1">
      <alignment horizontal="center" vertical="center"/>
    </xf>
    <xf numFmtId="164" fontId="23" fillId="0" borderId="104" xfId="14" applyFont="1" applyFill="1" applyBorder="1" applyAlignment="1">
      <alignment horizontal="center" vertical="center"/>
    </xf>
    <xf numFmtId="168" fontId="44" fillId="0" borderId="2" xfId="18" applyNumberFormat="1" applyFont="1" applyFill="1" applyBorder="1" applyAlignment="1">
      <alignment horizontal="center"/>
    </xf>
    <xf numFmtId="168" fontId="56" fillId="0" borderId="2" xfId="18" applyNumberFormat="1" applyFont="1" applyFill="1" applyBorder="1" applyAlignment="1">
      <alignment horizontal="center" wrapText="1"/>
    </xf>
    <xf numFmtId="168" fontId="8" fillId="0" borderId="2" xfId="18" applyNumberFormat="1" applyFill="1" applyBorder="1" applyAlignment="1">
      <alignment horizontal="center"/>
    </xf>
    <xf numFmtId="168" fontId="1" fillId="0" borderId="67" xfId="18" applyNumberFormat="1" applyFont="1" applyFill="1" applyBorder="1" applyAlignment="1">
      <alignment horizontal="left" vertical="center"/>
    </xf>
    <xf numFmtId="168" fontId="1" fillId="0" borderId="68" xfId="18" applyNumberFormat="1" applyFont="1" applyFill="1" applyBorder="1" applyAlignment="1">
      <alignment horizontal="left" vertical="center"/>
    </xf>
    <xf numFmtId="168" fontId="1" fillId="0" borderId="99" xfId="18" applyNumberFormat="1" applyFont="1" applyFill="1" applyBorder="1" applyAlignment="1">
      <alignment horizontal="left" vertical="center"/>
    </xf>
    <xf numFmtId="168" fontId="1" fillId="0" borderId="113" xfId="18" applyNumberFormat="1" applyFont="1" applyFill="1" applyBorder="1" applyAlignment="1">
      <alignment horizontal="left" vertical="center"/>
    </xf>
    <xf numFmtId="168" fontId="1" fillId="0" borderId="119" xfId="18" applyNumberFormat="1" applyFont="1" applyFill="1" applyBorder="1" applyAlignment="1">
      <alignment horizontal="left" vertical="center"/>
    </xf>
    <xf numFmtId="168" fontId="1" fillId="0" borderId="126" xfId="18" applyNumberFormat="1" applyFont="1" applyFill="1" applyBorder="1" applyAlignment="1">
      <alignment horizontal="left" vertical="center"/>
    </xf>
    <xf numFmtId="168" fontId="23" fillId="0" borderId="113" xfId="18" applyNumberFormat="1" applyFont="1" applyFill="1" applyBorder="1" applyAlignment="1">
      <alignment horizontal="center" vertical="center"/>
    </xf>
    <xf numFmtId="168" fontId="23" fillId="0" borderId="112" xfId="18" applyNumberFormat="1" applyFont="1" applyFill="1" applyBorder="1" applyAlignment="1">
      <alignment horizontal="center" vertical="center"/>
    </xf>
    <xf numFmtId="0" fontId="85" fillId="0" borderId="64" xfId="0" applyFont="1" applyBorder="1" applyAlignment="1">
      <alignment horizontal="center" vertical="center"/>
    </xf>
    <xf numFmtId="0" fontId="85" fillId="0" borderId="66" xfId="0" applyFont="1" applyBorder="1" applyAlignment="1">
      <alignment horizontal="center" vertical="center"/>
    </xf>
    <xf numFmtId="0" fontId="85" fillId="0" borderId="67" xfId="0" applyFont="1" applyBorder="1" applyAlignment="1">
      <alignment horizontal="center" vertical="center"/>
    </xf>
    <xf numFmtId="0" fontId="85" fillId="0" borderId="69" xfId="0" applyFont="1" applyBorder="1" applyAlignment="1">
      <alignment horizontal="center" vertical="center"/>
    </xf>
    <xf numFmtId="0" fontId="67" fillId="0" borderId="64" xfId="0" applyFont="1" applyBorder="1" applyAlignment="1">
      <alignment horizontal="center" vertical="center"/>
    </xf>
    <xf numFmtId="0" fontId="67" fillId="0" borderId="65" xfId="0" applyFont="1" applyBorder="1" applyAlignment="1">
      <alignment horizontal="center" vertical="center"/>
    </xf>
    <xf numFmtId="0" fontId="67" fillId="0" borderId="66" xfId="0" applyFont="1" applyBorder="1" applyAlignment="1">
      <alignment horizontal="center" vertical="center"/>
    </xf>
    <xf numFmtId="0" fontId="67" fillId="0" borderId="67" xfId="0" applyFont="1" applyBorder="1" applyAlignment="1">
      <alignment horizontal="center" vertical="center"/>
    </xf>
    <xf numFmtId="0" fontId="67" fillId="0" borderId="68" xfId="0" applyFont="1" applyBorder="1" applyAlignment="1">
      <alignment horizontal="center" vertical="center"/>
    </xf>
    <xf numFmtId="0" fontId="67" fillId="0" borderId="69" xfId="0" applyFont="1" applyBorder="1" applyAlignment="1">
      <alignment horizontal="center" vertical="center"/>
    </xf>
    <xf numFmtId="168" fontId="23" fillId="0" borderId="2" xfId="18" applyNumberFormat="1" applyFont="1" applyFill="1" applyBorder="1" applyAlignment="1">
      <alignment horizontal="center" vertical="center" wrapText="1"/>
    </xf>
    <xf numFmtId="164" fontId="23" fillId="0" borderId="2" xfId="14" applyFont="1" applyFill="1" applyBorder="1" applyAlignment="1">
      <alignment horizontal="center" vertical="center"/>
    </xf>
    <xf numFmtId="0" fontId="67" fillId="0" borderId="113" xfId="0" applyFont="1" applyBorder="1" applyAlignment="1">
      <alignment horizontal="center" vertical="center"/>
    </xf>
    <xf numFmtId="0" fontId="67" fillId="0" borderId="112" xfId="0" applyFont="1" applyBorder="1" applyAlignment="1">
      <alignment horizontal="center" vertical="center"/>
    </xf>
    <xf numFmtId="0" fontId="67" fillId="0" borderId="119" xfId="0" applyFont="1" applyBorder="1" applyAlignment="1">
      <alignment horizontal="center" vertical="center"/>
    </xf>
    <xf numFmtId="0" fontId="1" fillId="7" borderId="125" xfId="0" applyFont="1" applyFill="1" applyBorder="1" applyAlignment="1">
      <alignment horizontal="center"/>
    </xf>
    <xf numFmtId="0" fontId="1" fillId="7" borderId="155" xfId="0" applyFont="1" applyFill="1" applyBorder="1" applyAlignment="1">
      <alignment horizontal="center"/>
    </xf>
    <xf numFmtId="0" fontId="1" fillId="7" borderId="127" xfId="0" applyFont="1" applyFill="1" applyBorder="1" applyAlignment="1">
      <alignment horizontal="center"/>
    </xf>
    <xf numFmtId="0" fontId="5" fillId="7" borderId="101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left"/>
    </xf>
    <xf numFmtId="0" fontId="5" fillId="7" borderId="10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 vertical="center" wrapText="1"/>
    </xf>
    <xf numFmtId="0" fontId="1" fillId="7" borderId="104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/>
    </xf>
    <xf numFmtId="0" fontId="1" fillId="7" borderId="101" xfId="0" applyFont="1" applyFill="1" applyBorder="1" applyAlignment="1">
      <alignment horizontal="center" vertical="center" wrapText="1"/>
    </xf>
    <xf numFmtId="0" fontId="5" fillId="7" borderId="148" xfId="0" applyFont="1" applyFill="1" applyBorder="1" applyAlignment="1" applyProtection="1"/>
    <xf numFmtId="0" fontId="5" fillId="7" borderId="33" xfId="0" applyFont="1" applyFill="1" applyBorder="1" applyAlignment="1" applyProtection="1"/>
    <xf numFmtId="0" fontId="5" fillId="7" borderId="138" xfId="0" applyFont="1" applyFill="1" applyBorder="1" applyAlignment="1">
      <alignment horizontal="left" vertical="center"/>
    </xf>
    <xf numFmtId="0" fontId="5" fillId="7" borderId="3" xfId="0" applyFont="1" applyFill="1" applyBorder="1" applyAlignment="1">
      <alignment horizontal="left" vertical="center"/>
    </xf>
    <xf numFmtId="0" fontId="5" fillId="7" borderId="139" xfId="0" applyFont="1" applyFill="1" applyBorder="1" applyAlignment="1">
      <alignment horizontal="left" vertical="center"/>
    </xf>
    <xf numFmtId="0" fontId="42" fillId="0" borderId="136" xfId="0" applyFont="1" applyBorder="1" applyAlignment="1">
      <alignment horizontal="center" vertical="center"/>
    </xf>
    <xf numFmtId="0" fontId="42" fillId="0" borderId="128" xfId="0" applyFont="1" applyBorder="1" applyAlignment="1">
      <alignment horizontal="center" vertical="center"/>
    </xf>
    <xf numFmtId="0" fontId="42" fillId="0" borderId="105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116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10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32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4" fillId="0" borderId="136" xfId="0" applyFont="1" applyBorder="1" applyAlignment="1">
      <alignment horizontal="center" vertical="center"/>
    </xf>
    <xf numFmtId="0" fontId="44" fillId="0" borderId="128" xfId="0" applyFont="1" applyBorder="1" applyAlignment="1">
      <alignment horizontal="center" vertical="center"/>
    </xf>
    <xf numFmtId="0" fontId="44" fillId="0" borderId="105" xfId="0" applyFont="1" applyBorder="1" applyAlignment="1">
      <alignment horizontal="center" vertical="center"/>
    </xf>
    <xf numFmtId="0" fontId="9" fillId="7" borderId="138" xfId="0" applyFont="1" applyFill="1" applyBorder="1" applyAlignment="1">
      <alignment horizontal="left"/>
    </xf>
    <xf numFmtId="0" fontId="9" fillId="7" borderId="3" xfId="0" applyFont="1" applyFill="1" applyBorder="1" applyAlignment="1">
      <alignment horizontal="left"/>
    </xf>
    <xf numFmtId="2" fontId="5" fillId="5" borderId="149" xfId="0" applyNumberFormat="1" applyFont="1" applyFill="1" applyBorder="1" applyAlignment="1">
      <alignment horizontal="left" vertical="center"/>
    </xf>
    <xf numFmtId="2" fontId="5" fillId="5" borderId="144" xfId="0" applyNumberFormat="1" applyFont="1" applyFill="1" applyBorder="1" applyAlignment="1">
      <alignment horizontal="left" vertical="center"/>
    </xf>
    <xf numFmtId="2" fontId="5" fillId="5" borderId="91" xfId="0" applyNumberFormat="1" applyFont="1" applyFill="1" applyBorder="1" applyAlignment="1">
      <alignment horizontal="left" vertical="center"/>
    </xf>
    <xf numFmtId="2" fontId="5" fillId="5" borderId="119" xfId="0" applyNumberFormat="1" applyFont="1" applyFill="1" applyBorder="1" applyAlignment="1">
      <alignment horizontal="left" vertical="center"/>
    </xf>
    <xf numFmtId="0" fontId="9" fillId="8" borderId="129" xfId="0" applyNumberFormat="1" applyFont="1" applyFill="1" applyBorder="1" applyAlignment="1">
      <alignment horizontal="center" vertical="center"/>
    </xf>
    <xf numFmtId="0" fontId="9" fillId="8" borderId="138" xfId="0" applyNumberFormat="1" applyFont="1" applyFill="1" applyBorder="1" applyAlignment="1">
      <alignment horizontal="center" vertical="center"/>
    </xf>
    <xf numFmtId="0" fontId="9" fillId="7" borderId="146" xfId="0" applyNumberFormat="1" applyFont="1" applyFill="1" applyBorder="1" applyAlignment="1">
      <alignment horizontal="center" vertical="center"/>
    </xf>
    <xf numFmtId="0" fontId="9" fillId="7" borderId="123" xfId="0" applyNumberFormat="1" applyFont="1" applyFill="1" applyBorder="1" applyAlignment="1">
      <alignment horizontal="center" vertical="center"/>
    </xf>
    <xf numFmtId="0" fontId="9" fillId="8" borderId="146" xfId="0" applyNumberFormat="1" applyFont="1" applyFill="1" applyBorder="1" applyAlignment="1">
      <alignment horizontal="center" vertical="center"/>
    </xf>
    <xf numFmtId="2" fontId="5" fillId="5" borderId="91" xfId="0" applyNumberFormat="1" applyFont="1" applyFill="1" applyBorder="1" applyAlignment="1">
      <alignment horizontal="center" vertical="center"/>
    </xf>
    <xf numFmtId="2" fontId="5" fillId="5" borderId="119" xfId="0" applyNumberFormat="1" applyFont="1" applyFill="1" applyBorder="1" applyAlignment="1">
      <alignment horizontal="center" vertical="center"/>
    </xf>
    <xf numFmtId="0" fontId="9" fillId="8" borderId="101" xfId="0" applyFont="1" applyFill="1" applyBorder="1" applyAlignment="1">
      <alignment horizontal="left"/>
    </xf>
    <xf numFmtId="0" fontId="9" fillId="8" borderId="2" xfId="0" applyFont="1" applyFill="1" applyBorder="1" applyAlignment="1">
      <alignment horizontal="left"/>
    </xf>
    <xf numFmtId="0" fontId="9" fillId="7" borderId="114" xfId="0" applyFont="1" applyFill="1" applyBorder="1" applyAlignment="1">
      <alignment horizontal="left"/>
    </xf>
    <xf numFmtId="0" fontId="9" fillId="7" borderId="100" xfId="0" applyFont="1" applyFill="1" applyBorder="1" applyAlignment="1">
      <alignment horizontal="left"/>
    </xf>
    <xf numFmtId="0" fontId="78" fillId="7" borderId="52" xfId="0" applyFont="1" applyFill="1" applyBorder="1" applyAlignment="1">
      <alignment horizontal="center" vertical="center"/>
    </xf>
    <xf numFmtId="0" fontId="81" fillId="7" borderId="0" xfId="0" applyFont="1" applyFill="1" applyBorder="1" applyAlignment="1">
      <alignment horizontal="center" vertical="center"/>
    </xf>
    <xf numFmtId="0" fontId="78" fillId="7" borderId="0" xfId="0" applyFont="1" applyFill="1" applyBorder="1" applyAlignment="1">
      <alignment horizontal="center" vertical="center" wrapText="1"/>
    </xf>
    <xf numFmtId="40" fontId="73" fillId="0" borderId="183" xfId="0" applyNumberFormat="1" applyFont="1" applyBorder="1" applyAlignment="1">
      <alignment horizontal="center" vertical="center"/>
    </xf>
    <xf numFmtId="0" fontId="74" fillId="0" borderId="185" xfId="0" applyFont="1" applyBorder="1"/>
    <xf numFmtId="190" fontId="73" fillId="0" borderId="184" xfId="0" applyNumberFormat="1" applyFont="1" applyBorder="1" applyAlignment="1">
      <alignment horizontal="center" vertical="center"/>
    </xf>
    <xf numFmtId="0" fontId="74" fillId="0" borderId="186" xfId="0" applyFont="1" applyBorder="1"/>
    <xf numFmtId="10" fontId="80" fillId="7" borderId="0" xfId="0" applyNumberFormat="1" applyFont="1" applyFill="1" applyBorder="1" applyAlignment="1">
      <alignment horizontal="center" vertical="center"/>
    </xf>
    <xf numFmtId="10" fontId="78" fillId="7" borderId="0" xfId="0" applyNumberFormat="1" applyFont="1" applyFill="1" applyBorder="1" applyAlignment="1">
      <alignment horizontal="center" vertical="center"/>
    </xf>
    <xf numFmtId="1" fontId="74" fillId="0" borderId="175" xfId="0" applyNumberFormat="1" applyFont="1" applyBorder="1" applyAlignment="1">
      <alignment horizontal="left"/>
    </xf>
    <xf numFmtId="1" fontId="74" fillId="0" borderId="176" xfId="0" applyNumberFormat="1" applyFont="1" applyBorder="1" applyAlignment="1">
      <alignment horizontal="left"/>
    </xf>
    <xf numFmtId="1" fontId="74" fillId="0" borderId="177" xfId="0" applyNumberFormat="1" applyFont="1" applyBorder="1" applyAlignment="1">
      <alignment horizontal="left"/>
    </xf>
    <xf numFmtId="1" fontId="75" fillId="0" borderId="175" xfId="0" applyNumberFormat="1" applyFont="1" applyBorder="1" applyAlignment="1">
      <alignment horizontal="left"/>
    </xf>
    <xf numFmtId="1" fontId="75" fillId="0" borderId="176" xfId="0" applyNumberFormat="1" applyFont="1" applyBorder="1" applyAlignment="1">
      <alignment horizontal="left"/>
    </xf>
    <xf numFmtId="1" fontId="75" fillId="0" borderId="177" xfId="0" applyNumberFormat="1" applyFont="1" applyBorder="1" applyAlignment="1">
      <alignment horizontal="left"/>
    </xf>
    <xf numFmtId="0" fontId="78" fillId="0" borderId="180" xfId="0" applyFont="1" applyBorder="1" applyAlignment="1">
      <alignment horizontal="center" vertical="center" wrapText="1"/>
    </xf>
    <xf numFmtId="0" fontId="78" fillId="0" borderId="181" xfId="0" applyFont="1" applyBorder="1" applyAlignment="1">
      <alignment horizontal="center" vertical="center" wrapText="1"/>
    </xf>
    <xf numFmtId="0" fontId="78" fillId="0" borderId="182" xfId="0" applyFont="1" applyBorder="1" applyAlignment="1">
      <alignment horizontal="center" vertical="center" wrapText="1"/>
    </xf>
    <xf numFmtId="0" fontId="78" fillId="0" borderId="77" xfId="0" applyFont="1" applyBorder="1" applyAlignment="1">
      <alignment horizontal="center" vertical="center" wrapText="1"/>
    </xf>
    <xf numFmtId="0" fontId="78" fillId="0" borderId="52" xfId="0" applyFont="1" applyBorder="1" applyAlignment="1">
      <alignment horizontal="center" vertical="center" wrapText="1"/>
    </xf>
    <xf numFmtId="0" fontId="78" fillId="0" borderId="168" xfId="0" applyFont="1" applyBorder="1" applyAlignment="1">
      <alignment horizontal="center" vertical="center" wrapText="1"/>
    </xf>
    <xf numFmtId="10" fontId="73" fillId="0" borderId="183" xfId="0" applyNumberFormat="1" applyFont="1" applyBorder="1" applyAlignment="1">
      <alignment horizontal="center" vertical="center"/>
    </xf>
    <xf numFmtId="10" fontId="74" fillId="0" borderId="185" xfId="0" applyNumberFormat="1" applyFont="1" applyBorder="1"/>
    <xf numFmtId="0" fontId="73" fillId="7" borderId="72" xfId="0" applyFont="1" applyFill="1" applyBorder="1" applyAlignment="1">
      <alignment horizontal="center" vertical="center"/>
    </xf>
    <xf numFmtId="0" fontId="73" fillId="7" borderId="73" xfId="0" applyFont="1" applyFill="1" applyBorder="1" applyAlignment="1">
      <alignment horizontal="center" vertical="center"/>
    </xf>
    <xf numFmtId="0" fontId="73" fillId="7" borderId="74" xfId="0" applyFont="1" applyFill="1" applyBorder="1" applyAlignment="1">
      <alignment horizontal="center" vertical="center"/>
    </xf>
    <xf numFmtId="0" fontId="73" fillId="7" borderId="77" xfId="0" applyFont="1" applyFill="1" applyBorder="1" applyAlignment="1">
      <alignment horizontal="center" vertical="center"/>
    </xf>
    <xf numFmtId="0" fontId="73" fillId="7" borderId="52" xfId="0" applyFont="1" applyFill="1" applyBorder="1" applyAlignment="1">
      <alignment horizontal="center" vertical="center"/>
    </xf>
    <xf numFmtId="0" fontId="73" fillId="7" borderId="78" xfId="0" applyFont="1" applyFill="1" applyBorder="1" applyAlignment="1">
      <alignment horizontal="center" vertical="center"/>
    </xf>
    <xf numFmtId="0" fontId="63" fillId="0" borderId="161" xfId="0" applyFont="1" applyBorder="1" applyAlignment="1">
      <alignment horizontal="center" vertical="center"/>
    </xf>
    <xf numFmtId="0" fontId="74" fillId="0" borderId="166" xfId="0" applyFont="1" applyBorder="1"/>
    <xf numFmtId="0" fontId="63" fillId="0" borderId="162" xfId="0" applyFont="1" applyBorder="1" applyAlignment="1">
      <alignment horizontal="center" vertical="center"/>
    </xf>
    <xf numFmtId="0" fontId="63" fillId="0" borderId="73" xfId="0" applyFont="1" applyBorder="1" applyAlignment="1">
      <alignment horizontal="center" vertical="center"/>
    </xf>
    <xf numFmtId="0" fontId="63" fillId="0" borderId="163" xfId="0" applyFont="1" applyBorder="1" applyAlignment="1">
      <alignment horizontal="center" vertical="center"/>
    </xf>
    <xf numFmtId="0" fontId="63" fillId="0" borderId="167" xfId="0" applyFont="1" applyBorder="1" applyAlignment="1">
      <alignment horizontal="center" vertical="center"/>
    </xf>
    <xf numFmtId="0" fontId="63" fillId="0" borderId="52" xfId="0" applyFont="1" applyBorder="1" applyAlignment="1">
      <alignment horizontal="center" vertical="center"/>
    </xf>
    <xf numFmtId="0" fontId="63" fillId="0" borderId="168" xfId="0" applyFont="1" applyBorder="1" applyAlignment="1">
      <alignment horizontal="center" vertical="center"/>
    </xf>
    <xf numFmtId="1" fontId="75" fillId="0" borderId="187" xfId="0" applyNumberFormat="1" applyFont="1" applyBorder="1" applyAlignment="1">
      <alignment horizontal="left"/>
    </xf>
    <xf numFmtId="1" fontId="75" fillId="0" borderId="188" xfId="0" applyNumberFormat="1" applyFont="1" applyBorder="1" applyAlignment="1">
      <alignment horizontal="left"/>
    </xf>
    <xf numFmtId="1" fontId="75" fillId="0" borderId="189" xfId="0" applyNumberFormat="1" applyFont="1" applyBorder="1" applyAlignment="1">
      <alignment horizontal="left"/>
    </xf>
    <xf numFmtId="1" fontId="74" fillId="16" borderId="175" xfId="0" applyNumberFormat="1" applyFont="1" applyFill="1" applyBorder="1" applyAlignment="1">
      <alignment horizontal="left"/>
    </xf>
    <xf numFmtId="1" fontId="74" fillId="16" borderId="176" xfId="0" applyNumberFormat="1" applyFont="1" applyFill="1" applyBorder="1" applyAlignment="1">
      <alignment horizontal="left"/>
    </xf>
    <xf numFmtId="1" fontId="74" fillId="16" borderId="177" xfId="0" applyNumberFormat="1" applyFont="1" applyFill="1" applyBorder="1" applyAlignment="1">
      <alignment horizontal="left"/>
    </xf>
    <xf numFmtId="1" fontId="76" fillId="16" borderId="175" xfId="0" applyNumberFormat="1" applyFont="1" applyFill="1" applyBorder="1" applyAlignment="1">
      <alignment horizontal="left"/>
    </xf>
    <xf numFmtId="1" fontId="76" fillId="16" borderId="176" xfId="0" applyNumberFormat="1" applyFont="1" applyFill="1" applyBorder="1" applyAlignment="1">
      <alignment horizontal="left"/>
    </xf>
    <xf numFmtId="1" fontId="76" fillId="16" borderId="177" xfId="0" applyNumberFormat="1" applyFont="1" applyFill="1" applyBorder="1" applyAlignment="1">
      <alignment horizontal="left"/>
    </xf>
    <xf numFmtId="3" fontId="48" fillId="0" borderId="101" xfId="0" applyNumberFormat="1" applyFont="1" applyBorder="1" applyAlignment="1">
      <alignment horizontal="center" vertical="center"/>
    </xf>
    <xf numFmtId="3" fontId="48" fillId="0" borderId="2" xfId="0" applyNumberFormat="1" applyFont="1" applyBorder="1" applyAlignment="1">
      <alignment horizontal="center" vertical="center"/>
    </xf>
    <xf numFmtId="3" fontId="48" fillId="0" borderId="104" xfId="0" applyNumberFormat="1" applyFont="1" applyBorder="1" applyAlignment="1">
      <alignment horizontal="center" vertical="center"/>
    </xf>
    <xf numFmtId="3" fontId="46" fillId="0" borderId="146" xfId="0" applyNumberFormat="1" applyFont="1" applyBorder="1" applyAlignment="1">
      <alignment horizontal="center" vertical="center"/>
    </xf>
    <xf numFmtId="0" fontId="4" fillId="0" borderId="123" xfId="0" applyFont="1" applyBorder="1" applyAlignment="1">
      <alignment horizontal="center" vertical="center"/>
    </xf>
    <xf numFmtId="0" fontId="4" fillId="0" borderId="138" xfId="0" applyFont="1" applyBorder="1" applyAlignment="1">
      <alignment horizontal="center" vertical="center"/>
    </xf>
    <xf numFmtId="3" fontId="46" fillId="0" borderId="113" xfId="0" applyNumberFormat="1" applyFont="1" applyBorder="1" applyAlignment="1">
      <alignment horizontal="center" vertical="center"/>
    </xf>
    <xf numFmtId="3" fontId="46" fillId="0" borderId="119" xfId="0" applyNumberFormat="1" applyFont="1" applyBorder="1" applyAlignment="1">
      <alignment horizontal="center" vertical="center"/>
    </xf>
    <xf numFmtId="3" fontId="46" fillId="0" borderId="112" xfId="0" applyNumberFormat="1" applyFont="1" applyBorder="1" applyAlignment="1">
      <alignment horizontal="center" vertical="center"/>
    </xf>
    <xf numFmtId="3" fontId="46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6" fillId="0" borderId="113" xfId="0" applyNumberFormat="1" applyFont="1" applyBorder="1" applyAlignment="1">
      <alignment horizontal="center" vertical="center" wrapText="1"/>
    </xf>
    <xf numFmtId="3" fontId="46" fillId="0" borderId="119" xfId="0" applyNumberFormat="1" applyFont="1" applyBorder="1" applyAlignment="1">
      <alignment horizontal="center" vertical="center" wrapText="1"/>
    </xf>
    <xf numFmtId="3" fontId="46" fillId="0" borderId="112" xfId="0" applyNumberFormat="1" applyFont="1" applyBorder="1" applyAlignment="1">
      <alignment horizontal="center" vertical="center" wrapText="1"/>
    </xf>
    <xf numFmtId="0" fontId="4" fillId="0" borderId="112" xfId="0" applyFont="1" applyBorder="1" applyAlignment="1">
      <alignment horizontal="center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3" fontId="46" fillId="0" borderId="3" xfId="0" applyNumberFormat="1" applyFont="1" applyBorder="1" applyAlignment="1">
      <alignment horizontal="center" vertical="center" wrapText="1"/>
    </xf>
    <xf numFmtId="0" fontId="49" fillId="0" borderId="64" xfId="0" applyFont="1" applyBorder="1" applyAlignment="1">
      <alignment horizontal="center" vertical="center" wrapText="1"/>
    </xf>
    <xf numFmtId="0" fontId="49" fillId="0" borderId="65" xfId="0" applyFont="1" applyBorder="1" applyAlignment="1">
      <alignment horizontal="center" vertical="center" wrapText="1"/>
    </xf>
    <xf numFmtId="0" fontId="49" fillId="0" borderId="66" xfId="0" applyFont="1" applyBorder="1" applyAlignment="1">
      <alignment horizontal="center" vertical="center" wrapText="1"/>
    </xf>
    <xf numFmtId="0" fontId="49" fillId="0" borderId="102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49" fillId="0" borderId="103" xfId="0" applyFont="1" applyBorder="1" applyAlignment="1">
      <alignment horizontal="center" vertical="center" wrapText="1"/>
    </xf>
    <xf numFmtId="0" fontId="49" fillId="0" borderId="67" xfId="0" applyFont="1" applyBorder="1" applyAlignment="1">
      <alignment horizontal="center" vertical="center" wrapText="1"/>
    </xf>
    <xf numFmtId="0" fontId="49" fillId="0" borderId="68" xfId="0" applyFont="1" applyBorder="1" applyAlignment="1">
      <alignment horizontal="center" vertical="center" wrapText="1"/>
    </xf>
    <xf numFmtId="0" fontId="49" fillId="0" borderId="69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3" fontId="4" fillId="7" borderId="65" xfId="0" applyNumberFormat="1" applyFont="1" applyFill="1" applyBorder="1" applyAlignment="1">
      <alignment horizontal="center"/>
    </xf>
    <xf numFmtId="3" fontId="4" fillId="7" borderId="111" xfId="0" applyNumberFormat="1" applyFont="1" applyFill="1" applyBorder="1" applyAlignment="1">
      <alignment horizontal="center"/>
    </xf>
    <xf numFmtId="3" fontId="4" fillId="7" borderId="52" xfId="0" applyNumberFormat="1" applyFont="1" applyFill="1" applyBorder="1" applyAlignment="1">
      <alignment horizontal="center"/>
    </xf>
    <xf numFmtId="3" fontId="4" fillId="7" borderId="78" xfId="0" applyNumberFormat="1" applyFont="1" applyFill="1" applyBorder="1" applyAlignment="1">
      <alignment horizontal="center"/>
    </xf>
    <xf numFmtId="3" fontId="46" fillId="0" borderId="141" xfId="0" applyNumberFormat="1" applyFont="1" applyBorder="1" applyAlignment="1">
      <alignment horizontal="center" vertical="center" wrapText="1"/>
    </xf>
    <xf numFmtId="3" fontId="46" fillId="0" borderId="147" xfId="0" applyNumberFormat="1" applyFont="1" applyBorder="1" applyAlignment="1">
      <alignment horizontal="center" vertical="center" wrapText="1"/>
    </xf>
    <xf numFmtId="3" fontId="46" fillId="0" borderId="139" xfId="0" applyNumberFormat="1" applyFont="1" applyBorder="1" applyAlignment="1">
      <alignment horizontal="center" vertical="center" wrapText="1"/>
    </xf>
    <xf numFmtId="3" fontId="46" fillId="0" borderId="64" xfId="0" applyNumberFormat="1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0" fillId="7" borderId="2" xfId="0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3" fontId="4" fillId="7" borderId="113" xfId="0" applyNumberFormat="1" applyFont="1" applyFill="1" applyBorder="1" applyAlignment="1">
      <alignment horizontal="center" vertical="center"/>
    </xf>
    <xf numFmtId="3" fontId="4" fillId="7" borderId="112" xfId="0" applyNumberFormat="1" applyFont="1" applyFill="1" applyBorder="1" applyAlignment="1">
      <alignment horizontal="center" vertical="center"/>
    </xf>
    <xf numFmtId="3" fontId="4" fillId="7" borderId="113" xfId="0" applyNumberFormat="1" applyFont="1" applyFill="1" applyBorder="1" applyAlignment="1">
      <alignment horizontal="center" vertical="center" wrapText="1"/>
    </xf>
    <xf numFmtId="3" fontId="4" fillId="7" borderId="112" xfId="0" applyNumberFormat="1" applyFont="1" applyFill="1" applyBorder="1" applyAlignment="1">
      <alignment horizontal="center" vertical="center" wrapText="1"/>
    </xf>
    <xf numFmtId="3" fontId="4" fillId="7" borderId="119" xfId="0" applyNumberFormat="1" applyFont="1" applyFill="1" applyBorder="1" applyAlignment="1">
      <alignment horizontal="center" vertical="center" wrapText="1"/>
    </xf>
    <xf numFmtId="3" fontId="4" fillId="7" borderId="2" xfId="0" applyNumberFormat="1" applyFont="1" applyFill="1" applyBorder="1" applyAlignment="1">
      <alignment horizontal="center" vertical="center"/>
    </xf>
    <xf numFmtId="3" fontId="68" fillId="7" borderId="113" xfId="0" applyNumberFormat="1" applyFont="1" applyFill="1" applyBorder="1" applyAlignment="1">
      <alignment horizontal="center" vertical="center"/>
    </xf>
    <xf numFmtId="3" fontId="68" fillId="7" borderId="119" xfId="0" applyNumberFormat="1" applyFont="1" applyFill="1" applyBorder="1" applyAlignment="1">
      <alignment horizontal="center" vertical="center"/>
    </xf>
    <xf numFmtId="3" fontId="68" fillId="7" borderId="112" xfId="0" applyNumberFormat="1" applyFont="1" applyFill="1" applyBorder="1" applyAlignment="1">
      <alignment horizontal="center" vertical="center"/>
    </xf>
    <xf numFmtId="0" fontId="60" fillId="0" borderId="113" xfId="0" applyFont="1" applyFill="1" applyBorder="1" applyAlignment="1">
      <alignment horizontal="left"/>
    </xf>
    <xf numFmtId="0" fontId="60" fillId="0" borderId="112" xfId="0" applyFont="1" applyFill="1" applyBorder="1" applyAlignment="1">
      <alignment horizontal="left"/>
    </xf>
    <xf numFmtId="0" fontId="59" fillId="8" borderId="149" xfId="0" applyFont="1" applyFill="1" applyBorder="1" applyAlignment="1">
      <alignment horizontal="center" vertical="center"/>
    </xf>
    <xf numFmtId="0" fontId="59" fillId="8" borderId="144" xfId="0" applyFont="1" applyFill="1" applyBorder="1" applyAlignment="1">
      <alignment horizontal="center" vertical="center"/>
    </xf>
    <xf numFmtId="0" fontId="59" fillId="8" borderId="145" xfId="0" applyFont="1" applyFill="1" applyBorder="1" applyAlignment="1">
      <alignment horizontal="center" vertical="center"/>
    </xf>
    <xf numFmtId="0" fontId="0" fillId="7" borderId="75" xfId="0" applyFill="1" applyBorder="1" applyAlignment="1">
      <alignment horizontal="left"/>
    </xf>
    <xf numFmtId="0" fontId="0" fillId="7" borderId="0" xfId="0" applyFill="1" applyBorder="1" applyAlignment="1">
      <alignment horizontal="left"/>
    </xf>
    <xf numFmtId="0" fontId="58" fillId="7" borderId="77" xfId="0" applyFont="1" applyFill="1" applyBorder="1" applyAlignment="1">
      <alignment horizontal="left"/>
    </xf>
    <xf numFmtId="0" fontId="58" fillId="7" borderId="52" xfId="0" applyFont="1" applyFill="1" applyBorder="1" applyAlignment="1">
      <alignment horizontal="left"/>
    </xf>
    <xf numFmtId="0" fontId="58" fillId="7" borderId="78" xfId="0" applyFont="1" applyFill="1" applyBorder="1" applyAlignment="1">
      <alignment horizontal="left"/>
    </xf>
    <xf numFmtId="0" fontId="58" fillId="0" borderId="157" xfId="0" applyFont="1" applyBorder="1" applyAlignment="1">
      <alignment horizontal="center" vertical="center"/>
    </xf>
    <xf numFmtId="0" fontId="58" fillId="8" borderId="91" xfId="0" applyFont="1" applyFill="1" applyBorder="1" applyAlignment="1">
      <alignment horizontal="left"/>
    </xf>
    <xf numFmtId="0" fontId="58" fillId="8" borderId="119" xfId="0" applyFont="1" applyFill="1" applyBorder="1" applyAlignment="1">
      <alignment horizontal="left"/>
    </xf>
    <xf numFmtId="0" fontId="58" fillId="8" borderId="126" xfId="0" applyFont="1" applyFill="1" applyBorder="1" applyAlignment="1">
      <alignment horizontal="left"/>
    </xf>
    <xf numFmtId="0" fontId="60" fillId="0" borderId="2" xfId="0" applyFont="1" applyBorder="1" applyAlignment="1">
      <alignment horizontal="center"/>
    </xf>
    <xf numFmtId="0" fontId="60" fillId="0" borderId="104" xfId="0" applyFont="1" applyBorder="1" applyAlignment="1">
      <alignment horizontal="center"/>
    </xf>
    <xf numFmtId="0" fontId="60" fillId="0" borderId="2" xfId="0" applyFont="1" applyFill="1" applyBorder="1" applyAlignment="1">
      <alignment horizontal="left"/>
    </xf>
    <xf numFmtId="0" fontId="0" fillId="0" borderId="10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4" xfId="0" applyBorder="1" applyAlignment="1">
      <alignment horizontal="center"/>
    </xf>
    <xf numFmtId="0" fontId="59" fillId="10" borderId="124" xfId="0" applyFont="1" applyFill="1" applyBorder="1" applyAlignment="1">
      <alignment horizontal="left"/>
    </xf>
    <xf numFmtId="0" fontId="59" fillId="10" borderId="155" xfId="0" applyFont="1" applyFill="1" applyBorder="1" applyAlignment="1">
      <alignment horizontal="left"/>
    </xf>
    <xf numFmtId="0" fontId="59" fillId="10" borderId="127" xfId="0" applyFont="1" applyFill="1" applyBorder="1" applyAlignment="1">
      <alignment horizontal="left"/>
    </xf>
    <xf numFmtId="0" fontId="0" fillId="0" borderId="136" xfId="0" applyBorder="1" applyAlignment="1">
      <alignment horizontal="center"/>
    </xf>
    <xf numFmtId="0" fontId="0" fillId="0" borderId="128" xfId="0" applyBorder="1" applyAlignment="1">
      <alignment horizontal="center"/>
    </xf>
    <xf numFmtId="0" fontId="0" fillId="0" borderId="105" xfId="0" applyBorder="1" applyAlignment="1">
      <alignment horizontal="center"/>
    </xf>
    <xf numFmtId="0" fontId="58" fillId="0" borderId="149" xfId="0" applyFont="1" applyBorder="1" applyAlignment="1">
      <alignment horizontal="right"/>
    </xf>
    <xf numFmtId="0" fontId="58" fillId="0" borderId="144" xfId="0" applyFont="1" applyBorder="1" applyAlignment="1">
      <alignment horizontal="right"/>
    </xf>
    <xf numFmtId="0" fontId="58" fillId="9" borderId="124" xfId="0" applyFont="1" applyFill="1" applyBorder="1" applyAlignment="1">
      <alignment horizontal="right" vertical="center"/>
    </xf>
    <xf numFmtId="0" fontId="58" fillId="9" borderId="155" xfId="0" applyFont="1" applyFill="1" applyBorder="1" applyAlignment="1">
      <alignment horizontal="right" vertical="center"/>
    </xf>
    <xf numFmtId="0" fontId="58" fillId="8" borderId="136" xfId="0" applyFont="1" applyFill="1" applyBorder="1" applyAlignment="1">
      <alignment horizontal="left"/>
    </xf>
    <xf numFmtId="0" fontId="58" fillId="8" borderId="128" xfId="0" applyFont="1" applyFill="1" applyBorder="1" applyAlignment="1">
      <alignment horizontal="left"/>
    </xf>
    <xf numFmtId="0" fontId="58" fillId="8" borderId="159" xfId="0" applyFont="1" applyFill="1" applyBorder="1" applyAlignment="1">
      <alignment horizontal="left"/>
    </xf>
    <xf numFmtId="0" fontId="0" fillId="0" borderId="91" xfId="0" applyBorder="1" applyAlignment="1">
      <alignment horizontal="center"/>
    </xf>
    <xf numFmtId="0" fontId="0" fillId="0" borderId="119" xfId="0" applyBorder="1" applyAlignment="1">
      <alignment horizontal="center"/>
    </xf>
    <xf numFmtId="0" fontId="0" fillId="0" borderId="126" xfId="0" applyBorder="1" applyAlignment="1">
      <alignment horizontal="center"/>
    </xf>
    <xf numFmtId="0" fontId="58" fillId="0" borderId="91" xfId="0" applyFont="1" applyFill="1" applyBorder="1" applyAlignment="1">
      <alignment horizontal="left" vertical="center"/>
    </xf>
    <xf numFmtId="0" fontId="58" fillId="0" borderId="119" xfId="0" applyFont="1" applyFill="1" applyBorder="1" applyAlignment="1">
      <alignment horizontal="left" vertical="center"/>
    </xf>
    <xf numFmtId="167" fontId="5" fillId="7" borderId="113" xfId="0" applyNumberFormat="1" applyFont="1" applyFill="1" applyBorder="1" applyAlignment="1">
      <alignment horizontal="center"/>
    </xf>
    <xf numFmtId="0" fontId="5" fillId="7" borderId="112" xfId="0" applyFont="1" applyFill="1" applyBorder="1" applyAlignment="1">
      <alignment horizontal="center"/>
    </xf>
    <xf numFmtId="0" fontId="13" fillId="7" borderId="106" xfId="16" applyFont="1" applyFill="1" applyBorder="1" applyAlignment="1">
      <alignment horizontal="center"/>
    </xf>
    <xf numFmtId="0" fontId="13" fillId="7" borderId="68" xfId="16" applyFont="1" applyFill="1" applyBorder="1" applyAlignment="1">
      <alignment horizontal="center"/>
    </xf>
    <xf numFmtId="167" fontId="5" fillId="7" borderId="65" xfId="0" applyNumberFormat="1" applyFont="1" applyFill="1" applyBorder="1" applyAlignment="1">
      <alignment horizontal="center"/>
    </xf>
    <xf numFmtId="167" fontId="1" fillId="7" borderId="2" xfId="0" applyNumberFormat="1" applyFont="1" applyFill="1" applyBorder="1" applyAlignment="1">
      <alignment horizontal="center"/>
    </xf>
    <xf numFmtId="167" fontId="0" fillId="7" borderId="2" xfId="0" applyNumberFormat="1" applyFill="1" applyBorder="1" applyAlignment="1">
      <alignment horizontal="center"/>
    </xf>
    <xf numFmtId="173" fontId="0" fillId="7" borderId="113" xfId="0" applyNumberFormat="1" applyFill="1" applyBorder="1" applyAlignment="1">
      <alignment horizontal="center"/>
    </xf>
    <xf numFmtId="0" fontId="0" fillId="7" borderId="112" xfId="0" applyFill="1" applyBorder="1" applyAlignment="1">
      <alignment horizontal="center"/>
    </xf>
    <xf numFmtId="0" fontId="2" fillId="7" borderId="103" xfId="16" applyFont="1" applyFill="1" applyBorder="1" applyAlignment="1">
      <alignment horizontal="left" vertical="center"/>
    </xf>
    <xf numFmtId="173" fontId="0" fillId="7" borderId="0" xfId="0" applyNumberForma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7" fontId="5" fillId="7" borderId="105" xfId="0" applyNumberFormat="1" applyFont="1" applyFill="1" applyBorder="1" applyAlignment="1">
      <alignment horizontal="center"/>
    </xf>
    <xf numFmtId="167" fontId="5" fillId="7" borderId="8" xfId="0" applyNumberFormat="1" applyFont="1" applyFill="1" applyBorder="1" applyAlignment="1">
      <alignment horizontal="center"/>
    </xf>
    <xf numFmtId="0" fontId="5" fillId="7" borderId="74" xfId="0" applyFont="1" applyFill="1" applyBorder="1" applyAlignment="1">
      <alignment horizontal="center"/>
    </xf>
    <xf numFmtId="0" fontId="5" fillId="7" borderId="135" xfId="0" applyFont="1" applyFill="1" applyBorder="1" applyAlignment="1">
      <alignment horizontal="center"/>
    </xf>
    <xf numFmtId="181" fontId="36" fillId="7" borderId="143" xfId="0" applyNumberFormat="1" applyFont="1" applyFill="1" applyBorder="1" applyAlignment="1">
      <alignment horizontal="center"/>
    </xf>
    <xf numFmtId="181" fontId="36" fillId="7" borderId="105" xfId="0" applyNumberFormat="1" applyFont="1" applyFill="1" applyBorder="1" applyAlignment="1">
      <alignment horizontal="center"/>
    </xf>
    <xf numFmtId="0" fontId="5" fillId="7" borderId="72" xfId="0" applyFont="1" applyFill="1" applyBorder="1" applyAlignment="1">
      <alignment horizontal="center"/>
    </xf>
    <xf numFmtId="0" fontId="5" fillId="7" borderId="73" xfId="0" applyFont="1" applyFill="1" applyBorder="1" applyAlignment="1">
      <alignment horizontal="center"/>
    </xf>
    <xf numFmtId="167" fontId="5" fillId="7" borderId="74" xfId="0" applyNumberFormat="1" applyFont="1" applyFill="1" applyBorder="1" applyAlignment="1">
      <alignment horizontal="center"/>
    </xf>
    <xf numFmtId="167" fontId="5" fillId="7" borderId="135" xfId="0" applyNumberFormat="1" applyFont="1" applyFill="1" applyBorder="1" applyAlignment="1">
      <alignment horizontal="center"/>
    </xf>
    <xf numFmtId="0" fontId="5" fillId="7" borderId="78" xfId="0" applyFont="1" applyFill="1" applyBorder="1" applyAlignment="1">
      <alignment horizontal="center"/>
    </xf>
    <xf numFmtId="0" fontId="5" fillId="7" borderId="137" xfId="0" applyFont="1" applyFill="1" applyBorder="1" applyAlignment="1">
      <alignment horizontal="center"/>
    </xf>
    <xf numFmtId="173" fontId="5" fillId="7" borderId="77" xfId="14" applyNumberFormat="1" applyFont="1" applyFill="1" applyBorder="1" applyAlignment="1">
      <alignment horizontal="right"/>
    </xf>
    <xf numFmtId="173" fontId="5" fillId="7" borderId="78" xfId="14" applyNumberFormat="1" applyFont="1" applyFill="1" applyBorder="1" applyAlignment="1">
      <alignment horizontal="right"/>
    </xf>
    <xf numFmtId="0" fontId="5" fillId="7" borderId="105" xfId="0" applyFont="1" applyFill="1" applyBorder="1" applyAlignment="1">
      <alignment horizontal="center"/>
    </xf>
    <xf numFmtId="164" fontId="5" fillId="7" borderId="136" xfId="14" applyFont="1" applyFill="1" applyBorder="1" applyAlignment="1">
      <alignment horizontal="center"/>
    </xf>
    <xf numFmtId="164" fontId="5" fillId="7" borderId="105" xfId="14" applyFont="1" applyFill="1" applyBorder="1" applyAlignment="1">
      <alignment horizontal="center"/>
    </xf>
    <xf numFmtId="173" fontId="5" fillId="7" borderId="8" xfId="0" applyNumberFormat="1" applyFont="1" applyFill="1" applyBorder="1" applyAlignment="1">
      <alignment horizontal="center"/>
    </xf>
    <xf numFmtId="0" fontId="5" fillId="7" borderId="76" xfId="0" applyFont="1" applyFill="1" applyBorder="1" applyAlignment="1">
      <alignment horizontal="center"/>
    </xf>
    <xf numFmtId="0" fontId="5" fillId="7" borderId="140" xfId="0" applyFont="1" applyFill="1" applyBorder="1" applyAlignment="1">
      <alignment horizontal="center"/>
    </xf>
    <xf numFmtId="173" fontId="5" fillId="7" borderId="75" xfId="14" applyNumberFormat="1" applyFont="1" applyFill="1" applyBorder="1" applyAlignment="1">
      <alignment horizontal="right"/>
    </xf>
    <xf numFmtId="173" fontId="5" fillId="7" borderId="76" xfId="14" applyNumberFormat="1" applyFont="1" applyFill="1" applyBorder="1" applyAlignment="1">
      <alignment horizontal="right"/>
    </xf>
    <xf numFmtId="0" fontId="5" fillId="7" borderId="75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180" fontId="5" fillId="7" borderId="140" xfId="0" applyNumberFormat="1" applyFont="1" applyFill="1" applyBorder="1" applyAlignment="1">
      <alignment horizontal="center"/>
    </xf>
    <xf numFmtId="0" fontId="7" fillId="7" borderId="75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7" borderId="76" xfId="0" applyFont="1" applyFill="1" applyBorder="1" applyAlignment="1">
      <alignment horizontal="center" vertical="center" wrapText="1"/>
    </xf>
    <xf numFmtId="0" fontId="7" fillId="7" borderId="77" xfId="0" applyFont="1" applyFill="1" applyBorder="1" applyAlignment="1">
      <alignment horizontal="center" vertical="center" wrapText="1"/>
    </xf>
    <xf numFmtId="0" fontId="7" fillId="7" borderId="52" xfId="0" applyFont="1" applyFill="1" applyBorder="1" applyAlignment="1">
      <alignment horizontal="center" vertical="center" wrapText="1"/>
    </xf>
    <xf numFmtId="0" fontId="7" fillId="7" borderId="78" xfId="0" applyFont="1" applyFill="1" applyBorder="1" applyAlignment="1">
      <alignment horizontal="center" vertical="center" wrapText="1"/>
    </xf>
    <xf numFmtId="173" fontId="5" fillId="7" borderId="72" xfId="14" applyNumberFormat="1" applyFont="1" applyFill="1" applyBorder="1" applyAlignment="1">
      <alignment horizontal="right"/>
    </xf>
    <xf numFmtId="173" fontId="5" fillId="7" borderId="74" xfId="14" applyNumberFormat="1" applyFont="1" applyFill="1" applyBorder="1" applyAlignment="1">
      <alignment horizontal="right"/>
    </xf>
    <xf numFmtId="0" fontId="5" fillId="7" borderId="72" xfId="0" applyFont="1" applyFill="1" applyBorder="1" applyAlignment="1">
      <alignment horizontal="center" vertical="center" wrapText="1"/>
    </xf>
    <xf numFmtId="0" fontId="5" fillId="7" borderId="73" xfId="0" applyFont="1" applyFill="1" applyBorder="1" applyAlignment="1">
      <alignment horizontal="center" vertical="center" wrapText="1"/>
    </xf>
    <xf numFmtId="0" fontId="5" fillId="7" borderId="74" xfId="0" applyFont="1" applyFill="1" applyBorder="1" applyAlignment="1">
      <alignment horizontal="center" vertical="center" wrapText="1"/>
    </xf>
    <xf numFmtId="0" fontId="5" fillId="7" borderId="106" xfId="0" applyFont="1" applyFill="1" applyBorder="1" applyAlignment="1">
      <alignment horizontal="center" vertical="center" wrapText="1"/>
    </xf>
    <xf numFmtId="0" fontId="5" fillId="7" borderId="68" xfId="0" applyFont="1" applyFill="1" applyBorder="1" applyAlignment="1">
      <alignment horizontal="center" vertical="center" wrapText="1"/>
    </xf>
    <xf numFmtId="0" fontId="5" fillId="7" borderId="99" xfId="0" applyFont="1" applyFill="1" applyBorder="1" applyAlignment="1">
      <alignment horizontal="center" vertical="center" wrapText="1"/>
    </xf>
    <xf numFmtId="0" fontId="13" fillId="7" borderId="101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/>
    </xf>
    <xf numFmtId="0" fontId="13" fillId="7" borderId="104" xfId="0" applyFont="1" applyFill="1" applyBorder="1" applyAlignment="1">
      <alignment horizontal="center"/>
    </xf>
    <xf numFmtId="0" fontId="13" fillId="7" borderId="2" xfId="0" applyFont="1" applyFill="1" applyBorder="1" applyAlignment="1">
      <alignment horizontal="center" vertical="center" wrapText="1"/>
    </xf>
    <xf numFmtId="0" fontId="13" fillId="7" borderId="104" xfId="0" applyFont="1" applyFill="1" applyBorder="1" applyAlignment="1">
      <alignment horizontal="center" vertical="center" wrapText="1"/>
    </xf>
    <xf numFmtId="167" fontId="13" fillId="7" borderId="2" xfId="0" applyNumberFormat="1" applyFont="1" applyFill="1" applyBorder="1" applyAlignment="1">
      <alignment horizontal="center" vertical="center" wrapText="1"/>
    </xf>
    <xf numFmtId="10" fontId="13" fillId="7" borderId="2" xfId="0" applyNumberFormat="1" applyFont="1" applyFill="1" applyBorder="1" applyAlignment="1">
      <alignment horizontal="center" vertical="center" wrapText="1"/>
    </xf>
    <xf numFmtId="167" fontId="13" fillId="7" borderId="2" xfId="0" applyNumberFormat="1" applyFont="1" applyFill="1" applyBorder="1" applyAlignment="1">
      <alignment horizontal="center"/>
    </xf>
    <xf numFmtId="0" fontId="5" fillId="7" borderId="98" xfId="3" applyFont="1" applyFill="1" applyBorder="1" applyAlignment="1">
      <alignment horizontal="center" vertical="center" wrapText="1"/>
    </xf>
    <xf numFmtId="0" fontId="5" fillId="7" borderId="65" xfId="3" applyFont="1" applyFill="1" applyBorder="1" applyAlignment="1">
      <alignment horizontal="center" vertical="center" wrapText="1"/>
    </xf>
    <xf numFmtId="0" fontId="5" fillId="7" borderId="111" xfId="3" applyFont="1" applyFill="1" applyBorder="1" applyAlignment="1">
      <alignment horizontal="center" vertical="center" wrapText="1"/>
    </xf>
    <xf numFmtId="0" fontId="5" fillId="7" borderId="106" xfId="3" applyFont="1" applyFill="1" applyBorder="1" applyAlignment="1">
      <alignment horizontal="center" vertical="center" wrapText="1"/>
    </xf>
    <xf numFmtId="0" fontId="5" fillId="7" borderId="68" xfId="3" applyFont="1" applyFill="1" applyBorder="1" applyAlignment="1">
      <alignment horizontal="center" vertical="center" wrapText="1"/>
    </xf>
    <xf numFmtId="0" fontId="5" fillId="7" borderId="99" xfId="3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101" xfId="3" applyFont="1" applyBorder="1" applyAlignment="1">
      <alignment horizontal="center" vertical="center"/>
    </xf>
    <xf numFmtId="0" fontId="1" fillId="0" borderId="2" xfId="3" applyFont="1" applyBorder="1" applyAlignment="1">
      <alignment horizontal="center" vertical="center"/>
    </xf>
    <xf numFmtId="0" fontId="1" fillId="0" borderId="2" xfId="3" applyFont="1" applyBorder="1" applyAlignment="1">
      <alignment horizontal="center" vertical="center" wrapText="1"/>
    </xf>
    <xf numFmtId="4" fontId="1" fillId="7" borderId="2" xfId="3" applyNumberFormat="1" applyFont="1" applyFill="1" applyBorder="1" applyAlignment="1">
      <alignment horizontal="center" vertical="center" wrapText="1"/>
    </xf>
    <xf numFmtId="167" fontId="1" fillId="0" borderId="2" xfId="3" applyNumberFormat="1" applyFont="1" applyBorder="1" applyAlignment="1">
      <alignment horizontal="center" vertical="center" wrapText="1"/>
    </xf>
    <xf numFmtId="167" fontId="1" fillId="0" borderId="104" xfId="3" applyNumberFormat="1" applyFont="1" applyBorder="1" applyAlignment="1">
      <alignment horizontal="center" vertical="center" wrapText="1"/>
    </xf>
    <xf numFmtId="184" fontId="1" fillId="0" borderId="98" xfId="14" applyNumberFormat="1" applyFont="1" applyBorder="1" applyAlignment="1">
      <alignment horizontal="center" vertical="center"/>
    </xf>
    <xf numFmtId="184" fontId="1" fillId="0" borderId="65" xfId="14" applyNumberFormat="1" applyFont="1" applyBorder="1" applyAlignment="1">
      <alignment horizontal="center" vertical="center"/>
    </xf>
    <xf numFmtId="184" fontId="1" fillId="0" borderId="111" xfId="14" applyNumberFormat="1" applyFont="1" applyBorder="1" applyAlignment="1">
      <alignment horizontal="center" vertical="center"/>
    </xf>
    <xf numFmtId="184" fontId="1" fillId="0" borderId="106" xfId="14" applyNumberFormat="1" applyFont="1" applyBorder="1" applyAlignment="1">
      <alignment horizontal="center" vertical="center"/>
    </xf>
    <xf numFmtId="184" fontId="1" fillId="0" borderId="68" xfId="14" applyNumberFormat="1" applyFont="1" applyBorder="1" applyAlignment="1">
      <alignment horizontal="center" vertical="center"/>
    </xf>
    <xf numFmtId="184" fontId="1" fillId="0" borderId="99" xfId="14" applyNumberFormat="1" applyFont="1" applyBorder="1" applyAlignment="1">
      <alignment horizontal="center" vertical="center"/>
    </xf>
    <xf numFmtId="184" fontId="5" fillId="0" borderId="98" xfId="14" applyNumberFormat="1" applyFont="1" applyBorder="1" applyAlignment="1">
      <alignment horizontal="center" vertical="center"/>
    </xf>
    <xf numFmtId="184" fontId="5" fillId="0" borderId="66" xfId="14" applyNumberFormat="1" applyFont="1" applyBorder="1" applyAlignment="1">
      <alignment horizontal="center" vertical="center"/>
    </xf>
    <xf numFmtId="184" fontId="5" fillId="0" borderId="75" xfId="14" applyNumberFormat="1" applyFont="1" applyBorder="1" applyAlignment="1">
      <alignment horizontal="center" vertical="center"/>
    </xf>
    <xf numFmtId="184" fontId="5" fillId="0" borderId="103" xfId="14" applyNumberFormat="1" applyFont="1" applyBorder="1" applyAlignment="1">
      <alignment horizontal="center" vertical="center"/>
    </xf>
    <xf numFmtId="184" fontId="5" fillId="0" borderId="106" xfId="14" applyNumberFormat="1" applyFont="1" applyBorder="1" applyAlignment="1">
      <alignment horizontal="center" vertical="center"/>
    </xf>
    <xf numFmtId="184" fontId="5" fillId="0" borderId="69" xfId="14" applyNumberFormat="1" applyFont="1" applyBorder="1" applyAlignment="1">
      <alignment horizontal="center" vertical="center"/>
    </xf>
    <xf numFmtId="184" fontId="5" fillId="0" borderId="2" xfId="14" applyNumberFormat="1" applyFont="1" applyBorder="1" applyAlignment="1">
      <alignment horizontal="center" vertical="center"/>
    </xf>
    <xf numFmtId="184" fontId="5" fillId="0" borderId="104" xfId="14" applyNumberFormat="1" applyFont="1" applyBorder="1" applyAlignment="1">
      <alignment horizontal="center" vertical="center"/>
    </xf>
    <xf numFmtId="0" fontId="44" fillId="0" borderId="2" xfId="3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4" fontId="13" fillId="7" borderId="102" xfId="3" applyNumberFormat="1" applyFont="1" applyFill="1" applyBorder="1" applyAlignment="1">
      <alignment horizontal="center" vertical="center" wrapText="1"/>
    </xf>
    <xf numFmtId="4" fontId="13" fillId="7" borderId="103" xfId="3" applyNumberFormat="1" applyFont="1" applyFill="1" applyBorder="1" applyAlignment="1">
      <alignment horizontal="center" vertical="center" wrapText="1"/>
    </xf>
    <xf numFmtId="167" fontId="13" fillId="0" borderId="102" xfId="3" applyNumberFormat="1" applyFont="1" applyBorder="1" applyAlignment="1">
      <alignment horizontal="center" vertical="center" wrapText="1"/>
    </xf>
    <xf numFmtId="167" fontId="13" fillId="0" borderId="103" xfId="3" applyNumberFormat="1" applyFont="1" applyBorder="1" applyAlignment="1">
      <alignment horizontal="center" vertical="center" wrapText="1"/>
    </xf>
    <xf numFmtId="0" fontId="44" fillId="0" borderId="101" xfId="3" applyFont="1" applyBorder="1" applyAlignment="1">
      <alignment horizontal="center" vertical="center"/>
    </xf>
    <xf numFmtId="0" fontId="44" fillId="0" borderId="104" xfId="3" applyFont="1" applyBorder="1" applyAlignment="1">
      <alignment horizontal="center" vertical="center"/>
    </xf>
    <xf numFmtId="0" fontId="13" fillId="0" borderId="123" xfId="3" applyFont="1" applyBorder="1" applyAlignment="1">
      <alignment horizontal="center" vertical="center"/>
    </xf>
    <xf numFmtId="167" fontId="13" fillId="0" borderId="76" xfId="3" applyNumberFormat="1" applyFont="1" applyBorder="1" applyAlignment="1">
      <alignment horizontal="center" vertical="center" wrapText="1"/>
    </xf>
    <xf numFmtId="4" fontId="53" fillId="0" borderId="68" xfId="0" applyNumberFormat="1" applyFont="1" applyFill="1" applyBorder="1" applyAlignment="1">
      <alignment horizontal="center" vertical="center"/>
    </xf>
    <xf numFmtId="0" fontId="53" fillId="0" borderId="2" xfId="0" applyFont="1" applyFill="1" applyBorder="1" applyAlignment="1">
      <alignment horizontal="center" vertical="center"/>
    </xf>
    <xf numFmtId="0" fontId="53" fillId="0" borderId="2" xfId="0" applyFont="1" applyFill="1" applyBorder="1" applyAlignment="1">
      <alignment horizontal="center" vertical="center" wrapText="1"/>
    </xf>
    <xf numFmtId="0" fontId="53" fillId="0" borderId="67" xfId="0" applyFont="1" applyFill="1" applyBorder="1" applyAlignment="1">
      <alignment horizontal="right" vertical="center"/>
    </xf>
    <xf numFmtId="0" fontId="53" fillId="0" borderId="68" xfId="0" applyFont="1" applyFill="1" applyBorder="1" applyAlignment="1">
      <alignment horizontal="right" vertical="center"/>
    </xf>
    <xf numFmtId="0" fontId="53" fillId="0" borderId="113" xfId="0" applyFont="1" applyFill="1" applyBorder="1" applyAlignment="1">
      <alignment horizontal="right" vertical="center"/>
    </xf>
    <xf numFmtId="0" fontId="53" fillId="0" borderId="119" xfId="0" applyFont="1" applyFill="1" applyBorder="1" applyAlignment="1">
      <alignment horizontal="right" vertical="center"/>
    </xf>
    <xf numFmtId="0" fontId="53" fillId="0" borderId="112" xfId="0" applyFont="1" applyFill="1" applyBorder="1" applyAlignment="1">
      <alignment horizontal="right" vertic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173" fontId="71" fillId="15" borderId="136" xfId="0" applyNumberFormat="1" applyFont="1" applyFill="1" applyBorder="1" applyAlignment="1">
      <alignment horizontal="right" vertical="center"/>
    </xf>
    <xf numFmtId="173" fontId="71" fillId="15" borderId="128" xfId="0" applyNumberFormat="1" applyFont="1" applyFill="1" applyBorder="1" applyAlignment="1">
      <alignment horizontal="right" vertical="center"/>
    </xf>
    <xf numFmtId="173" fontId="71" fillId="15" borderId="105" xfId="0" applyNumberFormat="1" applyFont="1" applyFill="1" applyBorder="1" applyAlignment="1">
      <alignment horizontal="right" vertical="center"/>
    </xf>
    <xf numFmtId="173" fontId="71" fillId="7" borderId="136" xfId="0" applyNumberFormat="1" applyFont="1" applyFill="1" applyBorder="1" applyAlignment="1">
      <alignment horizontal="right"/>
    </xf>
    <xf numFmtId="173" fontId="71" fillId="7" borderId="128" xfId="0" applyNumberFormat="1" applyFont="1" applyFill="1" applyBorder="1" applyAlignment="1">
      <alignment horizontal="right"/>
    </xf>
    <xf numFmtId="173" fontId="71" fillId="7" borderId="105" xfId="0" applyNumberFormat="1" applyFont="1" applyFill="1" applyBorder="1" applyAlignment="1">
      <alignment horizontal="right"/>
    </xf>
    <xf numFmtId="173" fontId="71" fillId="12" borderId="8" xfId="0" applyNumberFormat="1" applyFont="1" applyFill="1" applyBorder="1" applyAlignment="1">
      <alignment horizontal="center" vertical="center"/>
    </xf>
    <xf numFmtId="173" fontId="71" fillId="12" borderId="136" xfId="0" applyNumberFormat="1" applyFont="1" applyFill="1" applyBorder="1" applyAlignment="1">
      <alignment horizontal="center" vertical="center"/>
    </xf>
    <xf numFmtId="49" fontId="71" fillId="12" borderId="138" xfId="0" applyNumberFormat="1" applyFont="1" applyFill="1" applyBorder="1" applyAlignment="1">
      <alignment horizontal="center" vertical="center"/>
    </xf>
    <xf numFmtId="173" fontId="71" fillId="12" borderId="3" xfId="0" applyNumberFormat="1" applyFont="1" applyFill="1" applyBorder="1" applyAlignment="1">
      <alignment horizontal="left"/>
    </xf>
    <xf numFmtId="49" fontId="71" fillId="14" borderId="101" xfId="0" applyNumberFormat="1" applyFont="1" applyFill="1" applyBorder="1" applyAlignment="1">
      <alignment horizontal="center" vertical="center"/>
    </xf>
    <xf numFmtId="173" fontId="71" fillId="14" borderId="2" xfId="0" applyNumberFormat="1" applyFont="1" applyFill="1" applyBorder="1" applyAlignment="1">
      <alignment horizontal="left" vertical="center"/>
    </xf>
    <xf numFmtId="173" fontId="71" fillId="12" borderId="8" xfId="0" applyNumberFormat="1" applyFont="1" applyFill="1" applyBorder="1" applyAlignment="1">
      <alignment horizontal="center" vertical="center" wrapText="1"/>
    </xf>
    <xf numFmtId="173" fontId="71" fillId="12" borderId="135" xfId="0" applyNumberFormat="1" applyFont="1" applyFill="1" applyBorder="1" applyAlignment="1">
      <alignment horizontal="center" vertical="center" wrapText="1"/>
    </xf>
    <xf numFmtId="173" fontId="70" fillId="11" borderId="72" xfId="0" applyNumberFormat="1" applyFont="1" applyFill="1" applyBorder="1" applyAlignment="1">
      <alignment horizontal="center" vertical="center"/>
    </xf>
    <xf numFmtId="173" fontId="70" fillId="11" borderId="73" xfId="0" applyNumberFormat="1" applyFont="1" applyFill="1" applyBorder="1" applyAlignment="1">
      <alignment horizontal="center" vertical="center"/>
    </xf>
    <xf numFmtId="173" fontId="70" fillId="11" borderId="75" xfId="0" applyNumberFormat="1" applyFont="1" applyFill="1" applyBorder="1" applyAlignment="1">
      <alignment horizontal="center" vertical="center"/>
    </xf>
    <xf numFmtId="173" fontId="70" fillId="11" borderId="0" xfId="0" applyNumberFormat="1" applyFont="1" applyFill="1" applyBorder="1" applyAlignment="1">
      <alignment horizontal="center" vertical="center"/>
    </xf>
    <xf numFmtId="173" fontId="70" fillId="11" borderId="77" xfId="0" applyNumberFormat="1" applyFont="1" applyFill="1" applyBorder="1" applyAlignment="1">
      <alignment horizontal="center" vertical="center"/>
    </xf>
    <xf numFmtId="173" fontId="70" fillId="11" borderId="52" xfId="0" applyNumberFormat="1" applyFont="1" applyFill="1" applyBorder="1" applyAlignment="1">
      <alignment horizontal="center" vertical="center"/>
    </xf>
    <xf numFmtId="173" fontId="4" fillId="11" borderId="72" xfId="0" applyNumberFormat="1" applyFont="1" applyFill="1" applyBorder="1" applyAlignment="1">
      <alignment horizontal="left" wrapText="1"/>
    </xf>
    <xf numFmtId="173" fontId="4" fillId="11" borderId="73" xfId="0" applyNumberFormat="1" applyFont="1" applyFill="1" applyBorder="1" applyAlignment="1">
      <alignment horizontal="left" wrapText="1"/>
    </xf>
    <xf numFmtId="173" fontId="4" fillId="11" borderId="74" xfId="0" applyNumberFormat="1" applyFont="1" applyFill="1" applyBorder="1" applyAlignment="1">
      <alignment horizontal="left" wrapText="1"/>
    </xf>
    <xf numFmtId="173" fontId="4" fillId="11" borderId="75" xfId="0" applyNumberFormat="1" applyFont="1" applyFill="1" applyBorder="1" applyAlignment="1">
      <alignment horizontal="left"/>
    </xf>
    <xf numFmtId="173" fontId="4" fillId="11" borderId="0" xfId="0" applyNumberFormat="1" applyFont="1" applyFill="1" applyBorder="1" applyAlignment="1">
      <alignment horizontal="left"/>
    </xf>
    <xf numFmtId="173" fontId="4" fillId="11" borderId="76" xfId="0" applyNumberFormat="1" applyFont="1" applyFill="1" applyBorder="1" applyAlignment="1">
      <alignment horizontal="left"/>
    </xf>
    <xf numFmtId="173" fontId="4" fillId="11" borderId="77" xfId="0" applyNumberFormat="1" applyFont="1" applyFill="1" applyBorder="1" applyAlignment="1">
      <alignment horizontal="left"/>
    </xf>
    <xf numFmtId="173" fontId="4" fillId="11" borderId="52" xfId="0" applyNumberFormat="1" applyFont="1" applyFill="1" applyBorder="1" applyAlignment="1">
      <alignment horizontal="left"/>
    </xf>
    <xf numFmtId="173" fontId="4" fillId="11" borderId="78" xfId="0" applyNumberFormat="1" applyFont="1" applyFill="1" applyBorder="1" applyAlignment="1">
      <alignment horizontal="left"/>
    </xf>
    <xf numFmtId="0" fontId="60" fillId="2" borderId="2" xfId="0" applyFont="1" applyFill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60" fillId="0" borderId="2" xfId="0" applyFont="1" applyFill="1" applyBorder="1" applyAlignment="1" applyProtection="1">
      <alignment horizontal="center"/>
    </xf>
    <xf numFmtId="0" fontId="5" fillId="7" borderId="2" xfId="0" applyFont="1" applyFill="1" applyBorder="1" applyAlignment="1" applyProtection="1">
      <alignment vertical="center"/>
    </xf>
    <xf numFmtId="10" fontId="5" fillId="7" borderId="65" xfId="25" applyNumberFormat="1" applyFont="1" applyFill="1" applyBorder="1" applyAlignment="1" applyProtection="1">
      <alignment horizontal="center" vertical="center"/>
    </xf>
    <xf numFmtId="0" fontId="84" fillId="7" borderId="2" xfId="0" applyFont="1" applyFill="1" applyBorder="1" applyAlignment="1" applyProtection="1"/>
    <xf numFmtId="0" fontId="1" fillId="0" borderId="71" xfId="0" applyFont="1" applyBorder="1" applyAlignment="1" applyProtection="1"/>
    <xf numFmtId="191" fontId="1" fillId="0" borderId="71" xfId="14" applyNumberFormat="1" applyFont="1" applyBorder="1" applyAlignment="1" applyProtection="1"/>
    <xf numFmtId="0" fontId="1" fillId="0" borderId="71" xfId="0" applyFont="1" applyBorder="1" applyAlignment="1" applyProtection="1">
      <alignment horizontal="center"/>
    </xf>
    <xf numFmtId="164" fontId="1" fillId="0" borderId="71" xfId="14" applyFont="1" applyBorder="1" applyAlignment="1" applyProtection="1">
      <alignment horizontal="center"/>
    </xf>
    <xf numFmtId="0" fontId="1" fillId="0" borderId="33" xfId="0" applyFont="1" applyBorder="1" applyAlignment="1" applyProtection="1"/>
    <xf numFmtId="191" fontId="1" fillId="0" borderId="33" xfId="14" applyNumberFormat="1" applyFont="1" applyBorder="1" applyAlignment="1" applyProtection="1"/>
    <xf numFmtId="0" fontId="1" fillId="0" borderId="33" xfId="0" applyFont="1" applyBorder="1" applyAlignment="1" applyProtection="1">
      <alignment horizontal="center"/>
    </xf>
    <xf numFmtId="164" fontId="1" fillId="0" borderId="33" xfId="14" applyFont="1" applyBorder="1" applyAlignment="1" applyProtection="1">
      <alignment horizontal="center"/>
    </xf>
    <xf numFmtId="0" fontId="1" fillId="0" borderId="120" xfId="0" applyFont="1" applyBorder="1" applyAlignment="1" applyProtection="1">
      <alignment horizontal="center" wrapText="1"/>
    </xf>
    <xf numFmtId="0" fontId="1" fillId="0" borderId="121" xfId="0" applyFont="1" applyBorder="1" applyAlignment="1" applyProtection="1">
      <alignment horizontal="center" wrapText="1"/>
    </xf>
    <xf numFmtId="0" fontId="1" fillId="0" borderId="122" xfId="0" applyFont="1" applyBorder="1" applyAlignment="1" applyProtection="1">
      <alignment horizontal="center" wrapText="1"/>
    </xf>
    <xf numFmtId="191" fontId="1" fillId="0" borderId="33" xfId="14" applyNumberFormat="1" applyFont="1" applyBorder="1" applyAlignment="1" applyProtection="1">
      <alignment vertical="center"/>
    </xf>
    <xf numFmtId="171" fontId="1" fillId="0" borderId="33" xfId="14" applyNumberFormat="1" applyFont="1" applyBorder="1" applyAlignment="1" applyProtection="1">
      <alignment vertical="center"/>
    </xf>
    <xf numFmtId="0" fontId="1" fillId="0" borderId="33" xfId="0" applyFont="1" applyBorder="1" applyAlignment="1" applyProtection="1">
      <alignment horizontal="center" vertical="center"/>
    </xf>
    <xf numFmtId="164" fontId="1" fillId="0" borderId="33" xfId="14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 wrapText="1"/>
    </xf>
    <xf numFmtId="165" fontId="1" fillId="0" borderId="120" xfId="0" applyNumberFormat="1" applyFont="1" applyBorder="1" applyAlignment="1" applyProtection="1">
      <alignment horizontal="center" vertical="center" wrapText="1"/>
    </xf>
    <xf numFmtId="165" fontId="1" fillId="0" borderId="122" xfId="0" applyNumberFormat="1" applyFont="1" applyBorder="1" applyAlignment="1" applyProtection="1">
      <alignment horizontal="center" vertical="center" wrapText="1"/>
    </xf>
    <xf numFmtId="191" fontId="1" fillId="0" borderId="190" xfId="14" applyNumberFormat="1" applyFont="1" applyBorder="1" applyAlignment="1" applyProtection="1">
      <alignment vertical="center"/>
    </xf>
    <xf numFmtId="171" fontId="1" fillId="0" borderId="190" xfId="14" applyNumberFormat="1" applyFont="1" applyBorder="1" applyAlignment="1" applyProtection="1">
      <alignment vertical="center"/>
    </xf>
    <xf numFmtId="0" fontId="1" fillId="0" borderId="190" xfId="0" applyFont="1" applyBorder="1" applyAlignment="1" applyProtection="1">
      <alignment horizontal="center" vertical="center"/>
    </xf>
    <xf numFmtId="164" fontId="1" fillId="0" borderId="190" xfId="14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vertical="center" wrapText="1"/>
    </xf>
    <xf numFmtId="164" fontId="1" fillId="0" borderId="30" xfId="14" applyFont="1" applyBorder="1" applyAlignment="1" applyProtection="1"/>
    <xf numFmtId="164" fontId="1" fillId="0" borderId="6" xfId="14" applyFont="1" applyBorder="1" applyAlignment="1" applyProtection="1"/>
    <xf numFmtId="164" fontId="1" fillId="0" borderId="29" xfId="14" applyFont="1" applyBorder="1" applyAlignment="1" applyProtection="1"/>
    <xf numFmtId="4" fontId="1" fillId="0" borderId="30" xfId="0" applyNumberFormat="1" applyFont="1" applyBorder="1" applyAlignment="1" applyProtection="1">
      <alignment horizontal="center"/>
    </xf>
    <xf numFmtId="4" fontId="1" fillId="0" borderId="29" xfId="0" applyNumberFormat="1" applyFont="1" applyBorder="1" applyAlignment="1" applyProtection="1">
      <alignment horizontal="center"/>
    </xf>
    <xf numFmtId="170" fontId="1" fillId="0" borderId="30" xfId="0" applyNumberFormat="1" applyFont="1" applyBorder="1" applyAlignment="1" applyProtection="1">
      <alignment horizontal="center" vertical="center" wrapText="1"/>
    </xf>
    <xf numFmtId="170" fontId="1" fillId="0" borderId="6" xfId="0" applyNumberFormat="1" applyFont="1" applyBorder="1" applyAlignment="1" applyProtection="1">
      <alignment horizontal="center" vertical="center" wrapText="1"/>
    </xf>
    <xf numFmtId="170" fontId="1" fillId="0" borderId="29" xfId="0" applyNumberFormat="1" applyFont="1" applyBorder="1" applyAlignment="1" applyProtection="1">
      <alignment horizontal="center" vertical="center" wrapText="1"/>
    </xf>
    <xf numFmtId="4" fontId="1" fillId="0" borderId="30" xfId="14" applyNumberFormat="1" applyFont="1" applyBorder="1" applyAlignment="1" applyProtection="1">
      <alignment horizontal="center" vertical="center" wrapText="1"/>
    </xf>
    <xf numFmtId="4" fontId="1" fillId="0" borderId="6" xfId="14" applyNumberFormat="1" applyFont="1" applyBorder="1" applyAlignment="1" applyProtection="1">
      <alignment horizontal="center" vertical="center" wrapText="1"/>
    </xf>
    <xf numFmtId="4" fontId="1" fillId="0" borderId="29" xfId="14" applyNumberFormat="1" applyFont="1" applyBorder="1" applyAlignment="1" applyProtection="1">
      <alignment horizontal="center" vertical="center" wrapText="1"/>
    </xf>
    <xf numFmtId="164" fontId="1" fillId="0" borderId="71" xfId="14" applyFont="1" applyBorder="1" applyAlignment="1" applyProtection="1"/>
    <xf numFmtId="4" fontId="1" fillId="0" borderId="71" xfId="0" applyNumberFormat="1" applyFont="1" applyBorder="1" applyAlignment="1" applyProtection="1">
      <alignment horizontal="center"/>
    </xf>
    <xf numFmtId="170" fontId="1" fillId="0" borderId="71" xfId="0" applyNumberFormat="1" applyFont="1" applyBorder="1" applyAlignment="1" applyProtection="1">
      <alignment horizontal="center" vertical="center" wrapText="1"/>
    </xf>
    <xf numFmtId="4" fontId="1" fillId="0" borderId="71" xfId="14" applyNumberFormat="1" applyFont="1" applyBorder="1" applyAlignment="1" applyProtection="1">
      <alignment horizontal="center" vertical="center" wrapText="1"/>
    </xf>
    <xf numFmtId="164" fontId="1" fillId="0" borderId="30" xfId="26" applyFont="1" applyBorder="1" applyAlignment="1" applyProtection="1"/>
    <xf numFmtId="164" fontId="1" fillId="0" borderId="6" xfId="26" applyFont="1" applyBorder="1" applyAlignment="1" applyProtection="1"/>
    <xf numFmtId="164" fontId="1" fillId="0" borderId="29" xfId="26" applyFont="1" applyBorder="1" applyAlignment="1" applyProtection="1"/>
    <xf numFmtId="4" fontId="1" fillId="0" borderId="30" xfId="26" applyNumberFormat="1" applyFont="1" applyBorder="1" applyAlignment="1" applyProtection="1">
      <alignment horizontal="center" vertical="center" wrapText="1"/>
    </xf>
    <xf numFmtId="4" fontId="1" fillId="0" borderId="6" xfId="26" applyNumberFormat="1" applyFont="1" applyBorder="1" applyAlignment="1" applyProtection="1">
      <alignment horizontal="center" vertical="center" wrapText="1"/>
    </xf>
    <xf numFmtId="4" fontId="1" fillId="0" borderId="29" xfId="26" applyNumberFormat="1" applyFont="1" applyBorder="1" applyAlignment="1" applyProtection="1">
      <alignment horizontal="center" vertical="center" wrapText="1"/>
    </xf>
    <xf numFmtId="164" fontId="1" fillId="0" borderId="33" xfId="14" applyFont="1" applyBorder="1" applyAlignment="1" applyProtection="1"/>
    <xf numFmtId="4" fontId="1" fillId="0" borderId="33" xfId="0" applyNumberFormat="1" applyFont="1" applyBorder="1" applyAlignment="1" applyProtection="1">
      <alignment horizontal="center"/>
    </xf>
    <xf numFmtId="170" fontId="1" fillId="0" borderId="190" xfId="0" applyNumberFormat="1" applyFont="1" applyBorder="1" applyAlignment="1" applyProtection="1">
      <alignment horizontal="center" vertical="center" wrapText="1"/>
    </xf>
    <xf numFmtId="4" fontId="1" fillId="0" borderId="190" xfId="14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/>
    </xf>
    <xf numFmtId="164" fontId="1" fillId="0" borderId="71" xfId="14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horizontal="right"/>
    </xf>
    <xf numFmtId="0" fontId="9" fillId="0" borderId="113" xfId="0" applyFont="1" applyBorder="1" applyAlignment="1" applyProtection="1">
      <alignment horizontal="right"/>
    </xf>
    <xf numFmtId="2" fontId="9" fillId="0" borderId="112" xfId="14" applyNumberFormat="1" applyFont="1" applyBorder="1" applyAlignment="1" applyProtection="1">
      <alignment horizontal="center" vertical="center"/>
    </xf>
    <xf numFmtId="2" fontId="9" fillId="0" borderId="2" xfId="14" applyNumberFormat="1" applyFont="1" applyBorder="1" applyAlignment="1" applyProtection="1">
      <alignment horizontal="center" vertical="center"/>
    </xf>
    <xf numFmtId="164" fontId="9" fillId="0" borderId="2" xfId="14" applyFont="1" applyBorder="1" applyAlignment="1" applyProtection="1">
      <alignment horizontal="center"/>
    </xf>
    <xf numFmtId="164" fontId="1" fillId="0" borderId="33" xfId="14" applyFont="1" applyBorder="1" applyAlignment="1" applyProtection="1">
      <alignment vertical="center" wrapText="1"/>
    </xf>
    <xf numFmtId="170" fontId="1" fillId="0" borderId="33" xfId="0" applyNumberFormat="1" applyFont="1" applyBorder="1" applyAlignment="1" applyProtection="1">
      <alignment horizontal="center" vertical="center" wrapText="1"/>
    </xf>
    <xf numFmtId="4" fontId="1" fillId="0" borderId="33" xfId="14" applyNumberFormat="1" applyFont="1" applyFill="1" applyBorder="1" applyAlignment="1" applyProtection="1">
      <alignment horizontal="center" vertical="center" wrapText="1"/>
    </xf>
    <xf numFmtId="164" fontId="1" fillId="0" borderId="190" xfId="14" applyFont="1" applyBorder="1" applyAlignment="1" applyProtection="1">
      <alignment vertical="center" wrapText="1"/>
    </xf>
    <xf numFmtId="164" fontId="1" fillId="0" borderId="71" xfId="14" applyFont="1" applyBorder="1" applyAlignment="1" applyProtection="1">
      <alignment horizontal="left"/>
    </xf>
    <xf numFmtId="170" fontId="1" fillId="0" borderId="71" xfId="0" applyNumberFormat="1" applyFont="1" applyFill="1" applyBorder="1" applyAlignment="1" applyProtection="1">
      <alignment horizontal="center"/>
    </xf>
    <xf numFmtId="4" fontId="1" fillId="0" borderId="71" xfId="0" applyNumberFormat="1" applyFont="1" applyFill="1" applyBorder="1" applyAlignment="1" applyProtection="1">
      <alignment horizontal="center"/>
    </xf>
    <xf numFmtId="39" fontId="1" fillId="0" borderId="71" xfId="14" applyNumberFormat="1" applyFont="1" applyBorder="1" applyAlignment="1" applyProtection="1"/>
    <xf numFmtId="164" fontId="1" fillId="0" borderId="33" xfId="14" applyFont="1" applyBorder="1" applyAlignment="1" applyProtection="1">
      <alignment horizontal="left"/>
    </xf>
    <xf numFmtId="4" fontId="60" fillId="0" borderId="33" xfId="0" applyNumberFormat="1" applyFont="1" applyBorder="1" applyAlignment="1" applyProtection="1">
      <alignment horizontal="center"/>
    </xf>
    <xf numFmtId="39" fontId="1" fillId="0" borderId="33" xfId="14" applyNumberFormat="1" applyFont="1" applyBorder="1" applyAlignment="1" applyProtection="1"/>
    <xf numFmtId="164" fontId="1" fillId="0" borderId="30" xfId="14" applyFont="1" applyBorder="1" applyAlignment="1" applyProtection="1">
      <alignment wrapText="1"/>
    </xf>
    <xf numFmtId="164" fontId="1" fillId="0" borderId="6" xfId="14" applyFont="1" applyBorder="1" applyAlignment="1" applyProtection="1">
      <alignment wrapText="1"/>
    </xf>
    <xf numFmtId="164" fontId="1" fillId="0" borderId="29" xfId="14" applyFont="1" applyBorder="1" applyAlignment="1" applyProtection="1">
      <alignment wrapText="1"/>
    </xf>
    <xf numFmtId="164" fontId="1" fillId="0" borderId="30" xfId="14" applyFont="1" applyBorder="1" applyAlignment="1" applyProtection="1">
      <alignment horizontal="left"/>
    </xf>
    <xf numFmtId="164" fontId="1" fillId="0" borderId="6" xfId="14" applyFont="1" applyBorder="1" applyAlignment="1" applyProtection="1">
      <alignment horizontal="left"/>
    </xf>
    <xf numFmtId="164" fontId="1" fillId="0" borderId="29" xfId="14" applyFont="1" applyBorder="1" applyAlignment="1" applyProtection="1">
      <alignment horizontal="left"/>
    </xf>
    <xf numFmtId="4" fontId="60" fillId="0" borderId="30" xfId="0" applyNumberFormat="1" applyFont="1" applyBorder="1" applyAlignment="1" applyProtection="1">
      <alignment horizontal="center"/>
    </xf>
    <xf numFmtId="4" fontId="60" fillId="0" borderId="29" xfId="0" applyNumberFormat="1" applyFont="1" applyBorder="1" applyAlignment="1" applyProtection="1">
      <alignment horizontal="center"/>
    </xf>
    <xf numFmtId="39" fontId="1" fillId="0" borderId="30" xfId="14" applyNumberFormat="1" applyFont="1" applyBorder="1" applyAlignment="1" applyProtection="1"/>
    <xf numFmtId="39" fontId="1" fillId="0" borderId="29" xfId="14" applyNumberFormat="1" applyFont="1" applyBorder="1" applyAlignment="1" applyProtection="1"/>
    <xf numFmtId="39" fontId="1" fillId="0" borderId="190" xfId="14" applyNumberFormat="1" applyFont="1" applyFill="1" applyBorder="1" applyAlignment="1" applyProtection="1"/>
    <xf numFmtId="164" fontId="1" fillId="0" borderId="30" xfId="21" applyFont="1" applyBorder="1" applyAlignment="1" applyProtection="1">
      <alignment horizontal="left" wrapText="1"/>
    </xf>
    <xf numFmtId="164" fontId="1" fillId="0" borderId="6" xfId="21" applyFont="1" applyBorder="1" applyAlignment="1" applyProtection="1">
      <alignment horizontal="left" wrapText="1"/>
    </xf>
    <xf numFmtId="164" fontId="1" fillId="0" borderId="29" xfId="21" applyFont="1" applyBorder="1" applyAlignment="1" applyProtection="1">
      <alignment horizontal="left" wrapText="1"/>
    </xf>
    <xf numFmtId="4" fontId="60" fillId="0" borderId="190" xfId="0" applyNumberFormat="1" applyFont="1" applyBorder="1" applyAlignment="1" applyProtection="1">
      <alignment horizontal="center"/>
    </xf>
    <xf numFmtId="0" fontId="83" fillId="0" borderId="2" xfId="0" applyFont="1" applyBorder="1" applyAlignment="1" applyProtection="1">
      <alignment horizontal="center" vertical="center"/>
    </xf>
    <xf numFmtId="0" fontId="40" fillId="7" borderId="64" xfId="14" applyNumberFormat="1" applyFont="1" applyFill="1" applyBorder="1" applyAlignment="1" applyProtection="1"/>
    <xf numFmtId="0" fontId="40" fillId="7" borderId="65" xfId="14" applyNumberFormat="1" applyFont="1" applyFill="1" applyBorder="1" applyAlignment="1" applyProtection="1"/>
    <xf numFmtId="0" fontId="40" fillId="7" borderId="66" xfId="14" applyNumberFormat="1" applyFont="1" applyFill="1" applyBorder="1" applyAlignment="1" applyProtection="1"/>
    <xf numFmtId="0" fontId="5" fillId="7" borderId="67" xfId="0" applyFont="1" applyFill="1" applyBorder="1" applyAlignment="1" applyProtection="1">
      <alignment horizontal="center" vertical="center" wrapText="1"/>
    </xf>
    <xf numFmtId="0" fontId="5" fillId="7" borderId="68" xfId="0" applyFont="1" applyFill="1" applyBorder="1" applyAlignment="1" applyProtection="1">
      <alignment horizontal="center" vertical="center" wrapText="1"/>
    </xf>
    <xf numFmtId="0" fontId="5" fillId="7" borderId="69" xfId="0" applyFont="1" applyFill="1" applyBorder="1" applyAlignment="1" applyProtection="1">
      <alignment horizontal="center" vertical="center" wrapText="1"/>
    </xf>
    <xf numFmtId="0" fontId="9" fillId="7" borderId="67" xfId="14" applyNumberFormat="1" applyFont="1" applyFill="1" applyBorder="1" applyAlignment="1" applyProtection="1">
      <alignment horizontal="left" vertical="center" wrapText="1"/>
    </xf>
    <xf numFmtId="0" fontId="9" fillId="7" borderId="68" xfId="14" applyNumberFormat="1" applyFont="1" applyFill="1" applyBorder="1" applyAlignment="1" applyProtection="1">
      <alignment horizontal="left" vertical="center" wrapText="1"/>
    </xf>
    <xf numFmtId="0" fontId="9" fillId="7" borderId="69" xfId="14" applyNumberFormat="1" applyFont="1" applyFill="1" applyBorder="1" applyAlignment="1" applyProtection="1">
      <alignment horizontal="left" vertical="center" wrapText="1"/>
    </xf>
    <xf numFmtId="0" fontId="0" fillId="2" borderId="2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4" fontId="0" fillId="0" borderId="33" xfId="0" applyNumberFormat="1" applyBorder="1" applyAlignment="1" applyProtection="1">
      <alignment horizontal="center"/>
    </xf>
    <xf numFmtId="4" fontId="0" fillId="0" borderId="30" xfId="0" applyNumberFormat="1" applyBorder="1" applyAlignment="1" applyProtection="1">
      <alignment horizontal="center"/>
    </xf>
    <xf numFmtId="4" fontId="0" fillId="0" borderId="29" xfId="0" applyNumberFormat="1" applyBorder="1" applyAlignment="1" applyProtection="1">
      <alignment horizontal="center"/>
    </xf>
    <xf numFmtId="164" fontId="1" fillId="0" borderId="6" xfId="21" applyBorder="1" applyAlignment="1" applyProtection="1">
      <alignment horizontal="left" wrapText="1"/>
    </xf>
    <xf numFmtId="164" fontId="1" fillId="0" borderId="29" xfId="21" applyBorder="1" applyAlignment="1" applyProtection="1">
      <alignment horizontal="left" wrapText="1"/>
    </xf>
    <xf numFmtId="4" fontId="0" fillId="0" borderId="190" xfId="0" applyNumberFormat="1" applyBorder="1" applyAlignment="1" applyProtection="1">
      <alignment horizontal="center"/>
    </xf>
    <xf numFmtId="0" fontId="83" fillId="0" borderId="113" xfId="0" applyFont="1" applyBorder="1" applyAlignment="1" applyProtection="1">
      <alignment horizontal="center" vertical="center"/>
    </xf>
    <xf numFmtId="0" fontId="83" fillId="0" borderId="119" xfId="0" applyFont="1" applyBorder="1" applyAlignment="1" applyProtection="1">
      <alignment horizontal="center" vertical="center"/>
    </xf>
  </cellXfs>
  <cellStyles count="27">
    <cellStyle name="12" xfId="1"/>
    <cellStyle name="Indefinido" xfId="2"/>
    <cellStyle name="Normal" xfId="0" builtinId="0"/>
    <cellStyle name="Normal 14" xfId="20"/>
    <cellStyle name="Normal 2" xfId="3"/>
    <cellStyle name="Normal 2 2" xfId="4"/>
    <cellStyle name="Normal 2 3" xfId="5"/>
    <cellStyle name="Normal 3 2" xfId="6"/>
    <cellStyle name="Normal_5ª Medição 199" xfId="18"/>
    <cellStyle name="Normal_DMT21" xfId="16"/>
    <cellStyle name="Normal_Geral" xfId="24"/>
    <cellStyle name="Normal_Orçamento Santo Antonio Barra do Aricá" xfId="19"/>
    <cellStyle name="Normal_ORÇAMENTOS TRAVESSIAS" xfId="23"/>
    <cellStyle name="Porcentagem" xfId="25" builtinId="5"/>
    <cellStyle name="Porcentagem 2" xfId="7"/>
    <cellStyle name="Porcentagem 2 2" xfId="8"/>
    <cellStyle name="Porcentagem 2 3" xfId="9"/>
    <cellStyle name="Separador de milhares 2" xfId="10"/>
    <cellStyle name="Separador de milhares 2 2" xfId="11"/>
    <cellStyle name="Separador de milhares 2 3" xfId="12"/>
    <cellStyle name="Separador de milhares 2 6" xfId="17"/>
    <cellStyle name="Separador de milhares 3" xfId="13"/>
    <cellStyle name="Separador de milhares 6 2" xfId="21"/>
    <cellStyle name="Separador de milhares 7" xfId="26"/>
    <cellStyle name="Separador de milhares_PROPOSTA DE PREÇOS - lote 1" xfId="22"/>
    <cellStyle name="TableStyleLight1" xfId="15"/>
    <cellStyle name="Vírgula" xfId="14" builtinId="3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8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42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40" Type="http://schemas.openxmlformats.org/officeDocument/2006/relationships/externalLink" Target="externalLinks/externalLink9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externalLink" Target="externalLinks/externalLink7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2</xdr:col>
      <xdr:colOff>0</xdr:colOff>
      <xdr:row>2</xdr:row>
      <xdr:rowOff>219075</xdr:rowOff>
    </xdr:to>
    <xdr:pic>
      <xdr:nvPicPr>
        <xdr:cNvPr id="19711" name="Picture 1049">
          <a:extLst>
            <a:ext uri="{FF2B5EF4-FFF2-40B4-BE49-F238E27FC236}">
              <a16:creationId xmlns:a16="http://schemas.microsoft.com/office/drawing/2014/main" xmlns="" id="{068D7E67-6AAF-42DD-BE18-FC6DB70FC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42950" cy="657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</xdr:col>
      <xdr:colOff>571498</xdr:colOff>
      <xdr:row>0</xdr:row>
      <xdr:rowOff>154781</xdr:rowOff>
    </xdr:from>
    <xdr:to>
      <xdr:col>6</xdr:col>
      <xdr:colOff>857249</xdr:colOff>
      <xdr:row>1</xdr:row>
      <xdr:rowOff>244860</xdr:rowOff>
    </xdr:to>
    <xdr:sp macro="" textlink="">
      <xdr:nvSpPr>
        <xdr:cNvPr id="3" name="WordArt 1050">
          <a:extLst>
            <a:ext uri="{FF2B5EF4-FFF2-40B4-BE49-F238E27FC236}">
              <a16:creationId xmlns:a16="http://schemas.microsoft.com/office/drawing/2014/main" xmlns="" id="{E0F070D4-12AC-460D-B3C6-280797DAA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38273" y="154781"/>
          <a:ext cx="2219326" cy="33772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pt-BR" sz="3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sy="50000" rotWithShape="0">
                  <a:srgbClr val="868686"/>
                </a:outerShdw>
              </a:effectLst>
              <a:latin typeface="Times New Roman"/>
              <a:cs typeface="Times New Roman"/>
            </a:rPr>
            <a:t>AGRITOP</a:t>
          </a:r>
        </a:p>
      </xdr:txBody>
    </xdr:sp>
    <xdr:clientData/>
  </xdr:twoCellAnchor>
  <xdr:twoCellAnchor>
    <xdr:from>
      <xdr:col>2</xdr:col>
      <xdr:colOff>180975</xdr:colOff>
      <xdr:row>2</xdr:row>
      <xdr:rowOff>1542</xdr:rowOff>
    </xdr:from>
    <xdr:to>
      <xdr:col>8</xdr:col>
      <xdr:colOff>390525</xdr:colOff>
      <xdr:row>2</xdr:row>
      <xdr:rowOff>180975</xdr:rowOff>
    </xdr:to>
    <xdr:sp macro="" textlink="">
      <xdr:nvSpPr>
        <xdr:cNvPr id="4" name="Text Box 1051">
          <a:extLst>
            <a:ext uri="{FF2B5EF4-FFF2-40B4-BE49-F238E27FC236}">
              <a16:creationId xmlns:a16="http://schemas.microsoft.com/office/drawing/2014/main" xmlns="" id="{8332CB27-F484-4E2F-9846-535E4AB7F2E1}"/>
            </a:ext>
          </a:extLst>
        </xdr:cNvPr>
        <xdr:cNvSpPr txBox="1">
          <a:spLocks noChangeArrowheads="1"/>
        </xdr:cNvSpPr>
      </xdr:nvSpPr>
      <xdr:spPr bwMode="auto">
        <a:xfrm>
          <a:off x="1047750" y="496842"/>
          <a:ext cx="3867150" cy="17943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TOPOGRAFIA, GEODÉSIA E PROJETOS LTDA.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0</xdr:colOff>
      <xdr:row>2</xdr:row>
      <xdr:rowOff>209550</xdr:rowOff>
    </xdr:to>
    <xdr:pic>
      <xdr:nvPicPr>
        <xdr:cNvPr id="20735" name="Picture 1049">
          <a:extLst>
            <a:ext uri="{FF2B5EF4-FFF2-40B4-BE49-F238E27FC236}">
              <a16:creationId xmlns:a16="http://schemas.microsoft.com/office/drawing/2014/main" xmlns="" id="{301B7A79-A0B9-4D21-84CB-1AABD2940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742950" cy="657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</xdr:col>
      <xdr:colOff>571498</xdr:colOff>
      <xdr:row>0</xdr:row>
      <xdr:rowOff>154781</xdr:rowOff>
    </xdr:from>
    <xdr:to>
      <xdr:col>6</xdr:col>
      <xdr:colOff>857249</xdr:colOff>
      <xdr:row>1</xdr:row>
      <xdr:rowOff>244860</xdr:rowOff>
    </xdr:to>
    <xdr:sp macro="" textlink="">
      <xdr:nvSpPr>
        <xdr:cNvPr id="3" name="WordArt 1050">
          <a:extLst>
            <a:ext uri="{FF2B5EF4-FFF2-40B4-BE49-F238E27FC236}">
              <a16:creationId xmlns:a16="http://schemas.microsoft.com/office/drawing/2014/main" xmlns="" id="{2F61F196-7204-4C70-A0F2-42A93D1690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23948" y="154781"/>
          <a:ext cx="1952626" cy="33772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pt-BR" sz="3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sy="50000" rotWithShape="0">
                  <a:srgbClr val="868686"/>
                </a:outerShdw>
              </a:effectLst>
              <a:latin typeface="Times New Roman"/>
              <a:cs typeface="Times New Roman"/>
            </a:rPr>
            <a:t>AGRITOP</a:t>
          </a:r>
        </a:p>
      </xdr:txBody>
    </xdr:sp>
    <xdr:clientData/>
  </xdr:twoCellAnchor>
  <xdr:twoCellAnchor>
    <xdr:from>
      <xdr:col>2</xdr:col>
      <xdr:colOff>180975</xdr:colOff>
      <xdr:row>2</xdr:row>
      <xdr:rowOff>1542</xdr:rowOff>
    </xdr:from>
    <xdr:to>
      <xdr:col>12</xdr:col>
      <xdr:colOff>390525</xdr:colOff>
      <xdr:row>2</xdr:row>
      <xdr:rowOff>180975</xdr:rowOff>
    </xdr:to>
    <xdr:sp macro="" textlink="">
      <xdr:nvSpPr>
        <xdr:cNvPr id="4" name="Text Box 1051">
          <a:extLst>
            <a:ext uri="{FF2B5EF4-FFF2-40B4-BE49-F238E27FC236}">
              <a16:creationId xmlns:a16="http://schemas.microsoft.com/office/drawing/2014/main" xmlns="" id="{53E28E06-DC1D-480E-9ADC-228CB3EF5655}"/>
            </a:ext>
          </a:extLst>
        </xdr:cNvPr>
        <xdr:cNvSpPr txBox="1">
          <a:spLocks noChangeArrowheads="1"/>
        </xdr:cNvSpPr>
      </xdr:nvSpPr>
      <xdr:spPr bwMode="auto">
        <a:xfrm>
          <a:off x="847725" y="496842"/>
          <a:ext cx="6229350" cy="17943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TOPOGRAFIA, GEODÉSIA E PROJETOS LTDA.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57150</xdr:rowOff>
    </xdr:from>
    <xdr:to>
      <xdr:col>1</xdr:col>
      <xdr:colOff>1257300</xdr:colOff>
      <xdr:row>2</xdr:row>
      <xdr:rowOff>247650</xdr:rowOff>
    </xdr:to>
    <xdr:pic>
      <xdr:nvPicPr>
        <xdr:cNvPr id="16577" name="Picture 2">
          <a:extLst>
            <a:ext uri="{FF2B5EF4-FFF2-40B4-BE49-F238E27FC236}">
              <a16:creationId xmlns:a16="http://schemas.microsoft.com/office/drawing/2014/main" xmlns="" id="{20B157E6-F9B5-46E8-9AEC-14A84D285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"/>
          <a:ext cx="13716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666750</xdr:colOff>
      <xdr:row>48</xdr:row>
      <xdr:rowOff>57150</xdr:rowOff>
    </xdr:from>
    <xdr:to>
      <xdr:col>1</xdr:col>
      <xdr:colOff>1257300</xdr:colOff>
      <xdr:row>51</xdr:row>
      <xdr:rowOff>0</xdr:rowOff>
    </xdr:to>
    <xdr:pic>
      <xdr:nvPicPr>
        <xdr:cNvPr id="16578" name="Picture 2">
          <a:extLst>
            <a:ext uri="{FF2B5EF4-FFF2-40B4-BE49-F238E27FC236}">
              <a16:creationId xmlns:a16="http://schemas.microsoft.com/office/drawing/2014/main" xmlns="" id="{70792714-3D58-413E-8F8A-24A638FA9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191500"/>
          <a:ext cx="1371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Line 12"/>
        <xdr:cNvSpPr>
          <a:spLocks noChangeShapeType="1"/>
        </xdr:cNvSpPr>
      </xdr:nvSpPr>
      <xdr:spPr bwMode="auto">
        <a:xfrm flipV="1">
          <a:off x="6324600" y="105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Line 13"/>
        <xdr:cNvSpPr>
          <a:spLocks noChangeShapeType="1"/>
        </xdr:cNvSpPr>
      </xdr:nvSpPr>
      <xdr:spPr bwMode="auto">
        <a:xfrm flipV="1">
          <a:off x="6324600" y="105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Line 14"/>
        <xdr:cNvSpPr>
          <a:spLocks noChangeShapeType="1"/>
        </xdr:cNvSpPr>
      </xdr:nvSpPr>
      <xdr:spPr bwMode="auto">
        <a:xfrm flipV="1">
          <a:off x="6324600" y="105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Line 15"/>
        <xdr:cNvSpPr>
          <a:spLocks noChangeShapeType="1"/>
        </xdr:cNvSpPr>
      </xdr:nvSpPr>
      <xdr:spPr bwMode="auto">
        <a:xfrm flipV="1">
          <a:off x="6324600" y="105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Line 16"/>
        <xdr:cNvSpPr>
          <a:spLocks noChangeShapeType="1"/>
        </xdr:cNvSpPr>
      </xdr:nvSpPr>
      <xdr:spPr bwMode="auto">
        <a:xfrm flipV="1">
          <a:off x="6324600" y="105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7" name="Line 17"/>
        <xdr:cNvSpPr>
          <a:spLocks noChangeShapeType="1"/>
        </xdr:cNvSpPr>
      </xdr:nvSpPr>
      <xdr:spPr bwMode="auto">
        <a:xfrm flipV="1">
          <a:off x="6324600" y="105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8" name="Line 18"/>
        <xdr:cNvSpPr>
          <a:spLocks noChangeShapeType="1"/>
        </xdr:cNvSpPr>
      </xdr:nvSpPr>
      <xdr:spPr bwMode="auto">
        <a:xfrm flipV="1">
          <a:off x="6324600" y="105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9" name="Line 19"/>
        <xdr:cNvSpPr>
          <a:spLocks noChangeShapeType="1"/>
        </xdr:cNvSpPr>
      </xdr:nvSpPr>
      <xdr:spPr bwMode="auto">
        <a:xfrm flipV="1">
          <a:off x="6324600" y="105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10" name="Line 20"/>
        <xdr:cNvSpPr>
          <a:spLocks noChangeShapeType="1"/>
        </xdr:cNvSpPr>
      </xdr:nvSpPr>
      <xdr:spPr bwMode="auto">
        <a:xfrm flipV="1">
          <a:off x="6324600" y="105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11" name="Line 21"/>
        <xdr:cNvSpPr>
          <a:spLocks noChangeShapeType="1"/>
        </xdr:cNvSpPr>
      </xdr:nvSpPr>
      <xdr:spPr bwMode="auto">
        <a:xfrm flipV="1">
          <a:off x="6324600" y="105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12" name="Line 22"/>
        <xdr:cNvSpPr>
          <a:spLocks noChangeShapeType="1"/>
        </xdr:cNvSpPr>
      </xdr:nvSpPr>
      <xdr:spPr bwMode="auto">
        <a:xfrm flipV="1">
          <a:off x="6324600" y="105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13" name="Line 23"/>
        <xdr:cNvSpPr>
          <a:spLocks noChangeShapeType="1"/>
        </xdr:cNvSpPr>
      </xdr:nvSpPr>
      <xdr:spPr bwMode="auto">
        <a:xfrm>
          <a:off x="6324600" y="105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14" name="Line 24"/>
        <xdr:cNvSpPr>
          <a:spLocks noChangeShapeType="1"/>
        </xdr:cNvSpPr>
      </xdr:nvSpPr>
      <xdr:spPr bwMode="auto">
        <a:xfrm flipV="1">
          <a:off x="6324600" y="105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15" name="Line 25"/>
        <xdr:cNvSpPr>
          <a:spLocks noChangeShapeType="1"/>
        </xdr:cNvSpPr>
      </xdr:nvSpPr>
      <xdr:spPr bwMode="auto">
        <a:xfrm flipV="1">
          <a:off x="6324600" y="105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16" name="Line 26"/>
        <xdr:cNvSpPr>
          <a:spLocks noChangeShapeType="1"/>
        </xdr:cNvSpPr>
      </xdr:nvSpPr>
      <xdr:spPr bwMode="auto">
        <a:xfrm flipV="1">
          <a:off x="6324600" y="105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17" name="Line 27"/>
        <xdr:cNvSpPr>
          <a:spLocks noChangeShapeType="1"/>
        </xdr:cNvSpPr>
      </xdr:nvSpPr>
      <xdr:spPr bwMode="auto">
        <a:xfrm flipV="1">
          <a:off x="6324600" y="105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18" name="Line 28"/>
        <xdr:cNvSpPr>
          <a:spLocks noChangeShapeType="1"/>
        </xdr:cNvSpPr>
      </xdr:nvSpPr>
      <xdr:spPr bwMode="auto">
        <a:xfrm flipV="1">
          <a:off x="6324600" y="105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19" name="Line 29"/>
        <xdr:cNvSpPr>
          <a:spLocks noChangeShapeType="1"/>
        </xdr:cNvSpPr>
      </xdr:nvSpPr>
      <xdr:spPr bwMode="auto">
        <a:xfrm flipV="1">
          <a:off x="6324600" y="105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0" name="Line 30"/>
        <xdr:cNvSpPr>
          <a:spLocks noChangeShapeType="1"/>
        </xdr:cNvSpPr>
      </xdr:nvSpPr>
      <xdr:spPr bwMode="auto">
        <a:xfrm flipV="1">
          <a:off x="6324600" y="105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1" name="Line 31"/>
        <xdr:cNvSpPr>
          <a:spLocks noChangeShapeType="1"/>
        </xdr:cNvSpPr>
      </xdr:nvSpPr>
      <xdr:spPr bwMode="auto">
        <a:xfrm flipV="1">
          <a:off x="6324600" y="105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2" name="Line 32"/>
        <xdr:cNvSpPr>
          <a:spLocks noChangeShapeType="1"/>
        </xdr:cNvSpPr>
      </xdr:nvSpPr>
      <xdr:spPr bwMode="auto">
        <a:xfrm flipV="1">
          <a:off x="6324600" y="105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3" name="Line 33"/>
        <xdr:cNvSpPr>
          <a:spLocks noChangeShapeType="1"/>
        </xdr:cNvSpPr>
      </xdr:nvSpPr>
      <xdr:spPr bwMode="auto">
        <a:xfrm flipV="1">
          <a:off x="6324600" y="105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4" name="Line 34"/>
        <xdr:cNvSpPr>
          <a:spLocks noChangeShapeType="1"/>
        </xdr:cNvSpPr>
      </xdr:nvSpPr>
      <xdr:spPr bwMode="auto">
        <a:xfrm flipV="1">
          <a:off x="6324600" y="105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5" name="Line 35"/>
        <xdr:cNvSpPr>
          <a:spLocks noChangeShapeType="1"/>
        </xdr:cNvSpPr>
      </xdr:nvSpPr>
      <xdr:spPr bwMode="auto">
        <a:xfrm>
          <a:off x="6324600" y="105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Line 12"/>
        <xdr:cNvSpPr>
          <a:spLocks noChangeShapeType="1"/>
        </xdr:cNvSpPr>
      </xdr:nvSpPr>
      <xdr:spPr bwMode="auto">
        <a:xfrm flipV="1">
          <a:off x="6343650" y="170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Line 13"/>
        <xdr:cNvSpPr>
          <a:spLocks noChangeShapeType="1"/>
        </xdr:cNvSpPr>
      </xdr:nvSpPr>
      <xdr:spPr bwMode="auto">
        <a:xfrm flipV="1">
          <a:off x="6343650" y="170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Line 14"/>
        <xdr:cNvSpPr>
          <a:spLocks noChangeShapeType="1"/>
        </xdr:cNvSpPr>
      </xdr:nvSpPr>
      <xdr:spPr bwMode="auto">
        <a:xfrm flipV="1">
          <a:off x="6343650" y="170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Line 15"/>
        <xdr:cNvSpPr>
          <a:spLocks noChangeShapeType="1"/>
        </xdr:cNvSpPr>
      </xdr:nvSpPr>
      <xdr:spPr bwMode="auto">
        <a:xfrm flipV="1">
          <a:off x="6343650" y="170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Line 16"/>
        <xdr:cNvSpPr>
          <a:spLocks noChangeShapeType="1"/>
        </xdr:cNvSpPr>
      </xdr:nvSpPr>
      <xdr:spPr bwMode="auto">
        <a:xfrm flipV="1">
          <a:off x="6343650" y="170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7" name="Line 17"/>
        <xdr:cNvSpPr>
          <a:spLocks noChangeShapeType="1"/>
        </xdr:cNvSpPr>
      </xdr:nvSpPr>
      <xdr:spPr bwMode="auto">
        <a:xfrm flipV="1">
          <a:off x="6343650" y="170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8" name="Line 18"/>
        <xdr:cNvSpPr>
          <a:spLocks noChangeShapeType="1"/>
        </xdr:cNvSpPr>
      </xdr:nvSpPr>
      <xdr:spPr bwMode="auto">
        <a:xfrm flipV="1">
          <a:off x="6343650" y="170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9" name="Line 19"/>
        <xdr:cNvSpPr>
          <a:spLocks noChangeShapeType="1"/>
        </xdr:cNvSpPr>
      </xdr:nvSpPr>
      <xdr:spPr bwMode="auto">
        <a:xfrm flipV="1">
          <a:off x="6343650" y="170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10" name="Line 20"/>
        <xdr:cNvSpPr>
          <a:spLocks noChangeShapeType="1"/>
        </xdr:cNvSpPr>
      </xdr:nvSpPr>
      <xdr:spPr bwMode="auto">
        <a:xfrm flipV="1">
          <a:off x="6343650" y="170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11" name="Line 21"/>
        <xdr:cNvSpPr>
          <a:spLocks noChangeShapeType="1"/>
        </xdr:cNvSpPr>
      </xdr:nvSpPr>
      <xdr:spPr bwMode="auto">
        <a:xfrm flipV="1">
          <a:off x="6343650" y="170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12" name="Line 22"/>
        <xdr:cNvSpPr>
          <a:spLocks noChangeShapeType="1"/>
        </xdr:cNvSpPr>
      </xdr:nvSpPr>
      <xdr:spPr bwMode="auto">
        <a:xfrm flipV="1">
          <a:off x="6343650" y="170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13" name="Line 23"/>
        <xdr:cNvSpPr>
          <a:spLocks noChangeShapeType="1"/>
        </xdr:cNvSpPr>
      </xdr:nvSpPr>
      <xdr:spPr bwMode="auto">
        <a:xfrm>
          <a:off x="6343650" y="170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14" name="Line 24"/>
        <xdr:cNvSpPr>
          <a:spLocks noChangeShapeType="1"/>
        </xdr:cNvSpPr>
      </xdr:nvSpPr>
      <xdr:spPr bwMode="auto">
        <a:xfrm flipV="1">
          <a:off x="6343650" y="170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15" name="Line 25"/>
        <xdr:cNvSpPr>
          <a:spLocks noChangeShapeType="1"/>
        </xdr:cNvSpPr>
      </xdr:nvSpPr>
      <xdr:spPr bwMode="auto">
        <a:xfrm flipV="1">
          <a:off x="6343650" y="170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16" name="Line 26"/>
        <xdr:cNvSpPr>
          <a:spLocks noChangeShapeType="1"/>
        </xdr:cNvSpPr>
      </xdr:nvSpPr>
      <xdr:spPr bwMode="auto">
        <a:xfrm flipV="1">
          <a:off x="6343650" y="170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17" name="Line 27"/>
        <xdr:cNvSpPr>
          <a:spLocks noChangeShapeType="1"/>
        </xdr:cNvSpPr>
      </xdr:nvSpPr>
      <xdr:spPr bwMode="auto">
        <a:xfrm flipV="1">
          <a:off x="6343650" y="170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18" name="Line 28"/>
        <xdr:cNvSpPr>
          <a:spLocks noChangeShapeType="1"/>
        </xdr:cNvSpPr>
      </xdr:nvSpPr>
      <xdr:spPr bwMode="auto">
        <a:xfrm flipV="1">
          <a:off x="6343650" y="170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19" name="Line 29"/>
        <xdr:cNvSpPr>
          <a:spLocks noChangeShapeType="1"/>
        </xdr:cNvSpPr>
      </xdr:nvSpPr>
      <xdr:spPr bwMode="auto">
        <a:xfrm flipV="1">
          <a:off x="6343650" y="170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0" name="Line 30"/>
        <xdr:cNvSpPr>
          <a:spLocks noChangeShapeType="1"/>
        </xdr:cNvSpPr>
      </xdr:nvSpPr>
      <xdr:spPr bwMode="auto">
        <a:xfrm flipV="1">
          <a:off x="6343650" y="170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1" name="Line 31"/>
        <xdr:cNvSpPr>
          <a:spLocks noChangeShapeType="1"/>
        </xdr:cNvSpPr>
      </xdr:nvSpPr>
      <xdr:spPr bwMode="auto">
        <a:xfrm flipV="1">
          <a:off x="6343650" y="170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2" name="Line 32"/>
        <xdr:cNvSpPr>
          <a:spLocks noChangeShapeType="1"/>
        </xdr:cNvSpPr>
      </xdr:nvSpPr>
      <xdr:spPr bwMode="auto">
        <a:xfrm flipV="1">
          <a:off x="6343650" y="170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3" name="Line 33"/>
        <xdr:cNvSpPr>
          <a:spLocks noChangeShapeType="1"/>
        </xdr:cNvSpPr>
      </xdr:nvSpPr>
      <xdr:spPr bwMode="auto">
        <a:xfrm flipV="1">
          <a:off x="6343650" y="170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4" name="Line 34"/>
        <xdr:cNvSpPr>
          <a:spLocks noChangeShapeType="1"/>
        </xdr:cNvSpPr>
      </xdr:nvSpPr>
      <xdr:spPr bwMode="auto">
        <a:xfrm flipV="1">
          <a:off x="6343650" y="170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5" name="Line 35"/>
        <xdr:cNvSpPr>
          <a:spLocks noChangeShapeType="1"/>
        </xdr:cNvSpPr>
      </xdr:nvSpPr>
      <xdr:spPr bwMode="auto">
        <a:xfrm>
          <a:off x="6343650" y="170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1600200</xdr:colOff>
      <xdr:row>26</xdr:row>
      <xdr:rowOff>57150</xdr:rowOff>
    </xdr:from>
    <xdr:to>
      <xdr:col>5</xdr:col>
      <xdr:colOff>466725</xdr:colOff>
      <xdr:row>32</xdr:row>
      <xdr:rowOff>9525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5095875"/>
          <a:ext cx="3476625" cy="1152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40</xdr:row>
      <xdr:rowOff>133350</xdr:rowOff>
    </xdr:from>
    <xdr:to>
      <xdr:col>2</xdr:col>
      <xdr:colOff>57150</xdr:colOff>
      <xdr:row>42</xdr:row>
      <xdr:rowOff>9525</xdr:rowOff>
    </xdr:to>
    <xdr:sp macro="" textlink="">
      <xdr:nvSpPr>
        <xdr:cNvPr id="2" name="Rectangle 41"/>
        <xdr:cNvSpPr>
          <a:spLocks noChangeArrowheads="1"/>
        </xdr:cNvSpPr>
      </xdr:nvSpPr>
      <xdr:spPr bwMode="auto">
        <a:xfrm>
          <a:off x="190500" y="6353175"/>
          <a:ext cx="144780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1</xdr:col>
      <xdr:colOff>219075</xdr:colOff>
      <xdr:row>43</xdr:row>
      <xdr:rowOff>123825</xdr:rowOff>
    </xdr:from>
    <xdr:to>
      <xdr:col>4</xdr:col>
      <xdr:colOff>400050</xdr:colOff>
      <xdr:row>45</xdr:row>
      <xdr:rowOff>47625</xdr:rowOff>
    </xdr:to>
    <xdr:sp macro="" textlink="">
      <xdr:nvSpPr>
        <xdr:cNvPr id="3" name="Rectangle 42"/>
        <xdr:cNvSpPr>
          <a:spLocks noChangeArrowheads="1"/>
        </xdr:cNvSpPr>
      </xdr:nvSpPr>
      <xdr:spPr bwMode="auto">
        <a:xfrm>
          <a:off x="1152525" y="6829425"/>
          <a:ext cx="1657350" cy="247650"/>
        </a:xfrm>
        <a:prstGeom prst="rect">
          <a:avLst/>
        </a:prstGeom>
        <a:solidFill>
          <a:srgbClr val="CC9C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41</xdr:row>
      <xdr:rowOff>76200</xdr:rowOff>
    </xdr:from>
    <xdr:to>
      <xdr:col>5</xdr:col>
      <xdr:colOff>247650</xdr:colOff>
      <xdr:row>41</xdr:row>
      <xdr:rowOff>76200</xdr:rowOff>
    </xdr:to>
    <xdr:sp macro="" textlink="">
      <xdr:nvSpPr>
        <xdr:cNvPr id="4" name="Line 43"/>
        <xdr:cNvSpPr>
          <a:spLocks noChangeShapeType="1"/>
        </xdr:cNvSpPr>
      </xdr:nvSpPr>
      <xdr:spPr bwMode="auto">
        <a:xfrm>
          <a:off x="1019175" y="6457950"/>
          <a:ext cx="24955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</xdr:col>
      <xdr:colOff>57150</xdr:colOff>
      <xdr:row>41</xdr:row>
      <xdr:rowOff>76200</xdr:rowOff>
    </xdr:from>
    <xdr:to>
      <xdr:col>2</xdr:col>
      <xdr:colOff>57150</xdr:colOff>
      <xdr:row>45</xdr:row>
      <xdr:rowOff>114300</xdr:rowOff>
    </xdr:to>
    <xdr:sp macro="" textlink="">
      <xdr:nvSpPr>
        <xdr:cNvPr id="5" name="Line 44"/>
        <xdr:cNvSpPr>
          <a:spLocks noChangeShapeType="1"/>
        </xdr:cNvSpPr>
      </xdr:nvSpPr>
      <xdr:spPr bwMode="auto">
        <a:xfrm>
          <a:off x="1638300" y="6457950"/>
          <a:ext cx="0" cy="68580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228600</xdr:colOff>
      <xdr:row>44</xdr:row>
      <xdr:rowOff>76200</xdr:rowOff>
    </xdr:from>
    <xdr:to>
      <xdr:col>5</xdr:col>
      <xdr:colOff>180975</xdr:colOff>
      <xdr:row>44</xdr:row>
      <xdr:rowOff>76200</xdr:rowOff>
    </xdr:to>
    <xdr:sp macro="" textlink="">
      <xdr:nvSpPr>
        <xdr:cNvPr id="6" name="Line 45"/>
        <xdr:cNvSpPr>
          <a:spLocks noChangeShapeType="1"/>
        </xdr:cNvSpPr>
      </xdr:nvSpPr>
      <xdr:spPr bwMode="auto">
        <a:xfrm>
          <a:off x="1162050" y="6943725"/>
          <a:ext cx="2286000" cy="0"/>
        </a:xfrm>
        <a:prstGeom prst="line">
          <a:avLst/>
        </a:prstGeom>
        <a:noFill/>
        <a:ln w="9525" cap="rnd">
          <a:solidFill>
            <a:srgbClr val="E3E3E3"/>
          </a:solidFill>
          <a:prstDash val="sysDot"/>
          <a:round/>
          <a:headEnd/>
          <a:tailEnd/>
        </a:ln>
      </xdr:spPr>
    </xdr:sp>
    <xdr:clientData/>
  </xdr:twoCellAnchor>
  <xdr:twoCellAnchor>
    <xdr:from>
      <xdr:col>2</xdr:col>
      <xdr:colOff>57150</xdr:colOff>
      <xdr:row>42</xdr:row>
      <xdr:rowOff>123825</xdr:rowOff>
    </xdr:from>
    <xdr:to>
      <xdr:col>4</xdr:col>
      <xdr:colOff>161925</xdr:colOff>
      <xdr:row>44</xdr:row>
      <xdr:rowOff>66675</xdr:rowOff>
    </xdr:to>
    <xdr:sp macro="" textlink="">
      <xdr:nvSpPr>
        <xdr:cNvPr id="7" name="Line 46"/>
        <xdr:cNvSpPr>
          <a:spLocks noChangeShapeType="1"/>
        </xdr:cNvSpPr>
      </xdr:nvSpPr>
      <xdr:spPr bwMode="auto">
        <a:xfrm flipV="1">
          <a:off x="1638300" y="6667500"/>
          <a:ext cx="933450" cy="26670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504825</xdr:colOff>
      <xdr:row>39</xdr:row>
      <xdr:rowOff>152400</xdr:rowOff>
    </xdr:from>
    <xdr:to>
      <xdr:col>1</xdr:col>
      <xdr:colOff>95250</xdr:colOff>
      <xdr:row>41</xdr:row>
      <xdr:rowOff>104775</xdr:rowOff>
    </xdr:to>
    <xdr:sp macro="" textlink="">
      <xdr:nvSpPr>
        <xdr:cNvPr id="8" name="Line 47"/>
        <xdr:cNvSpPr>
          <a:spLocks noChangeShapeType="1"/>
        </xdr:cNvSpPr>
      </xdr:nvSpPr>
      <xdr:spPr bwMode="auto">
        <a:xfrm>
          <a:off x="504825" y="6210300"/>
          <a:ext cx="523875" cy="27622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19050</xdr:colOff>
      <xdr:row>40</xdr:row>
      <xdr:rowOff>0</xdr:rowOff>
    </xdr:from>
    <xdr:to>
      <xdr:col>2</xdr:col>
      <xdr:colOff>57150</xdr:colOff>
      <xdr:row>40</xdr:row>
      <xdr:rowOff>9525</xdr:rowOff>
    </xdr:to>
    <xdr:cxnSp macro="">
      <xdr:nvCxnSpPr>
        <xdr:cNvPr id="9" name="AutoShape 48"/>
        <xdr:cNvCxnSpPr>
          <a:cxnSpLocks noChangeShapeType="1"/>
        </xdr:cNvCxnSpPr>
      </xdr:nvCxnSpPr>
      <xdr:spPr bwMode="auto">
        <a:xfrm>
          <a:off x="952500" y="6219825"/>
          <a:ext cx="685800" cy="9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cxnSp>
    <xdr:clientData/>
  </xdr:twoCellAnchor>
  <xdr:twoCellAnchor>
    <xdr:from>
      <xdr:col>0</xdr:col>
      <xdr:colOff>114300</xdr:colOff>
      <xdr:row>45</xdr:row>
      <xdr:rowOff>9525</xdr:rowOff>
    </xdr:from>
    <xdr:to>
      <xdr:col>1</xdr:col>
      <xdr:colOff>76200</xdr:colOff>
      <xdr:row>45</xdr:row>
      <xdr:rowOff>9525</xdr:rowOff>
    </xdr:to>
    <xdr:sp macro="" textlink="">
      <xdr:nvSpPr>
        <xdr:cNvPr id="10" name="Line 49"/>
        <xdr:cNvSpPr>
          <a:spLocks noChangeShapeType="1"/>
        </xdr:cNvSpPr>
      </xdr:nvSpPr>
      <xdr:spPr bwMode="auto">
        <a:xfrm>
          <a:off x="114300" y="7038975"/>
          <a:ext cx="895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133350</xdr:colOff>
      <xdr:row>45</xdr:row>
      <xdr:rowOff>133350</xdr:rowOff>
    </xdr:from>
    <xdr:to>
      <xdr:col>4</xdr:col>
      <xdr:colOff>561975</xdr:colOff>
      <xdr:row>45</xdr:row>
      <xdr:rowOff>133350</xdr:rowOff>
    </xdr:to>
    <xdr:cxnSp macro="">
      <xdr:nvCxnSpPr>
        <xdr:cNvPr id="11" name="AutoShape 50"/>
        <xdr:cNvCxnSpPr>
          <a:cxnSpLocks noChangeShapeType="1"/>
        </xdr:cNvCxnSpPr>
      </xdr:nvCxnSpPr>
      <xdr:spPr bwMode="auto">
        <a:xfrm>
          <a:off x="1066800" y="7162800"/>
          <a:ext cx="1905000" cy="0"/>
        </a:xfrm>
        <a:prstGeom prst="straightConnector1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cxnSp>
    <xdr:clientData/>
  </xdr:twoCellAnchor>
  <xdr:twoCellAnchor>
    <xdr:from>
      <xdr:col>2</xdr:col>
      <xdr:colOff>57150</xdr:colOff>
      <xdr:row>45</xdr:row>
      <xdr:rowOff>85725</xdr:rowOff>
    </xdr:from>
    <xdr:to>
      <xdr:col>2</xdr:col>
      <xdr:colOff>57150</xdr:colOff>
      <xdr:row>46</xdr:row>
      <xdr:rowOff>28575</xdr:rowOff>
    </xdr:to>
    <xdr:sp macro="" textlink="">
      <xdr:nvSpPr>
        <xdr:cNvPr id="12" name="Line 51"/>
        <xdr:cNvSpPr>
          <a:spLocks noChangeShapeType="1"/>
        </xdr:cNvSpPr>
      </xdr:nvSpPr>
      <xdr:spPr bwMode="auto">
        <a:xfrm>
          <a:off x="1638300" y="711517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228600</xdr:colOff>
      <xdr:row>45</xdr:row>
      <xdr:rowOff>95250</xdr:rowOff>
    </xdr:from>
    <xdr:to>
      <xdr:col>1</xdr:col>
      <xdr:colOff>228600</xdr:colOff>
      <xdr:row>46</xdr:row>
      <xdr:rowOff>28575</xdr:rowOff>
    </xdr:to>
    <xdr:sp macro="" textlink="">
      <xdr:nvSpPr>
        <xdr:cNvPr id="13" name="Line 52"/>
        <xdr:cNvSpPr>
          <a:spLocks noChangeShapeType="1"/>
        </xdr:cNvSpPr>
      </xdr:nvSpPr>
      <xdr:spPr bwMode="auto">
        <a:xfrm>
          <a:off x="1162050" y="7124700"/>
          <a:ext cx="0" cy="95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381000</xdr:colOff>
      <xdr:row>45</xdr:row>
      <xdr:rowOff>95250</xdr:rowOff>
    </xdr:from>
    <xdr:to>
      <xdr:col>4</xdr:col>
      <xdr:colOff>381000</xdr:colOff>
      <xdr:row>46</xdr:row>
      <xdr:rowOff>19050</xdr:rowOff>
    </xdr:to>
    <xdr:sp macro="" textlink="">
      <xdr:nvSpPr>
        <xdr:cNvPr id="14" name="Line 53"/>
        <xdr:cNvSpPr>
          <a:spLocks noChangeShapeType="1"/>
        </xdr:cNvSpPr>
      </xdr:nvSpPr>
      <xdr:spPr bwMode="auto">
        <a:xfrm>
          <a:off x="2790825" y="7124700"/>
          <a:ext cx="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542925</xdr:colOff>
      <xdr:row>48</xdr:row>
      <xdr:rowOff>0</xdr:rowOff>
    </xdr:from>
    <xdr:to>
      <xdr:col>1</xdr:col>
      <xdr:colOff>409575</xdr:colOff>
      <xdr:row>48</xdr:row>
      <xdr:rowOff>0</xdr:rowOff>
    </xdr:to>
    <xdr:sp macro="" textlink="">
      <xdr:nvSpPr>
        <xdr:cNvPr id="15" name="Line 60"/>
        <xdr:cNvSpPr>
          <a:spLocks noChangeShapeType="1"/>
        </xdr:cNvSpPr>
      </xdr:nvSpPr>
      <xdr:spPr bwMode="auto">
        <a:xfrm>
          <a:off x="542925" y="751522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123825</xdr:colOff>
      <xdr:row>41</xdr:row>
      <xdr:rowOff>95250</xdr:rowOff>
    </xdr:from>
    <xdr:to>
      <xdr:col>5</xdr:col>
      <xdr:colOff>123825</xdr:colOff>
      <xdr:row>44</xdr:row>
      <xdr:rowOff>57150</xdr:rowOff>
    </xdr:to>
    <xdr:cxnSp macro="">
      <xdr:nvCxnSpPr>
        <xdr:cNvPr id="16" name="AutoShape 61"/>
        <xdr:cNvCxnSpPr>
          <a:cxnSpLocks noChangeShapeType="1"/>
        </xdr:cNvCxnSpPr>
      </xdr:nvCxnSpPr>
      <xdr:spPr bwMode="auto">
        <a:xfrm>
          <a:off x="3390900" y="6477000"/>
          <a:ext cx="0" cy="44767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cxnSp>
    <xdr:clientData/>
  </xdr:twoCellAnchor>
  <xdr:twoCellAnchor>
    <xdr:from>
      <xdr:col>8</xdr:col>
      <xdr:colOff>171450</xdr:colOff>
      <xdr:row>40</xdr:row>
      <xdr:rowOff>104775</xdr:rowOff>
    </xdr:from>
    <xdr:to>
      <xdr:col>9</xdr:col>
      <xdr:colOff>257175</xdr:colOff>
      <xdr:row>41</xdr:row>
      <xdr:rowOff>123825</xdr:rowOff>
    </xdr:to>
    <xdr:sp macro="" textlink="">
      <xdr:nvSpPr>
        <xdr:cNvPr id="17" name="Rectangle 54"/>
        <xdr:cNvSpPr>
          <a:spLocks noChangeArrowheads="1"/>
        </xdr:cNvSpPr>
      </xdr:nvSpPr>
      <xdr:spPr bwMode="auto">
        <a:xfrm>
          <a:off x="4724400" y="6324600"/>
          <a:ext cx="990600" cy="18097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10</xdr:col>
      <xdr:colOff>171450</xdr:colOff>
      <xdr:row>45</xdr:row>
      <xdr:rowOff>9525</xdr:rowOff>
    </xdr:from>
    <xdr:to>
      <xdr:col>11</xdr:col>
      <xdr:colOff>342900</xdr:colOff>
      <xdr:row>46</xdr:row>
      <xdr:rowOff>57150</xdr:rowOff>
    </xdr:to>
    <xdr:sp macro="" textlink="">
      <xdr:nvSpPr>
        <xdr:cNvPr id="18" name="Rectangle 55"/>
        <xdr:cNvSpPr>
          <a:spLocks noChangeArrowheads="1"/>
        </xdr:cNvSpPr>
      </xdr:nvSpPr>
      <xdr:spPr bwMode="auto">
        <a:xfrm>
          <a:off x="6067425" y="7038975"/>
          <a:ext cx="762000" cy="209550"/>
        </a:xfrm>
        <a:prstGeom prst="rect">
          <a:avLst/>
        </a:prstGeom>
        <a:solidFill>
          <a:srgbClr val="CC9C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266700</xdr:colOff>
      <xdr:row>39</xdr:row>
      <xdr:rowOff>57150</xdr:rowOff>
    </xdr:from>
    <xdr:to>
      <xdr:col>9</xdr:col>
      <xdr:colOff>276225</xdr:colOff>
      <xdr:row>47</xdr:row>
      <xdr:rowOff>123825</xdr:rowOff>
    </xdr:to>
    <xdr:sp macro="" textlink="">
      <xdr:nvSpPr>
        <xdr:cNvPr id="19" name="Line 56"/>
        <xdr:cNvSpPr>
          <a:spLocks noChangeShapeType="1"/>
        </xdr:cNvSpPr>
      </xdr:nvSpPr>
      <xdr:spPr bwMode="auto">
        <a:xfrm flipH="1">
          <a:off x="5724525" y="6115050"/>
          <a:ext cx="9525" cy="13620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8</xdr:col>
      <xdr:colOff>200025</xdr:colOff>
      <xdr:row>45</xdr:row>
      <xdr:rowOff>104775</xdr:rowOff>
    </xdr:from>
    <xdr:to>
      <xdr:col>11</xdr:col>
      <xdr:colOff>514350</xdr:colOff>
      <xdr:row>45</xdr:row>
      <xdr:rowOff>104775</xdr:rowOff>
    </xdr:to>
    <xdr:sp macro="" textlink="">
      <xdr:nvSpPr>
        <xdr:cNvPr id="20" name="Line 57"/>
        <xdr:cNvSpPr>
          <a:spLocks noChangeShapeType="1"/>
        </xdr:cNvSpPr>
      </xdr:nvSpPr>
      <xdr:spPr bwMode="auto">
        <a:xfrm flipV="1">
          <a:off x="4752975" y="7134225"/>
          <a:ext cx="2152650" cy="0"/>
        </a:xfrm>
        <a:prstGeom prst="line">
          <a:avLst/>
        </a:prstGeom>
        <a:noFill/>
        <a:ln w="9525" cap="rnd">
          <a:solidFill>
            <a:srgbClr val="E3E3E3"/>
          </a:solidFill>
          <a:prstDash val="sysDot"/>
          <a:round/>
          <a:headEnd/>
          <a:tailEnd/>
        </a:ln>
      </xdr:spPr>
    </xdr:sp>
    <xdr:clientData/>
  </xdr:twoCellAnchor>
  <xdr:twoCellAnchor>
    <xdr:from>
      <xdr:col>8</xdr:col>
      <xdr:colOff>152400</xdr:colOff>
      <xdr:row>41</xdr:row>
      <xdr:rowOff>133350</xdr:rowOff>
    </xdr:from>
    <xdr:to>
      <xdr:col>8</xdr:col>
      <xdr:colOff>152400</xdr:colOff>
      <xdr:row>45</xdr:row>
      <xdr:rowOff>66675</xdr:rowOff>
    </xdr:to>
    <xdr:cxnSp macro="">
      <xdr:nvCxnSpPr>
        <xdr:cNvPr id="21" name="AutoShape 58"/>
        <xdr:cNvCxnSpPr>
          <a:cxnSpLocks noChangeShapeType="1"/>
        </xdr:cNvCxnSpPr>
      </xdr:nvCxnSpPr>
      <xdr:spPr bwMode="auto">
        <a:xfrm>
          <a:off x="4705350" y="6515100"/>
          <a:ext cx="0" cy="5810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cxnSp>
    <xdr:clientData/>
  </xdr:twoCellAnchor>
  <xdr:twoCellAnchor>
    <xdr:from>
      <xdr:col>8</xdr:col>
      <xdr:colOff>57150</xdr:colOff>
      <xdr:row>41</xdr:row>
      <xdr:rowOff>9525</xdr:rowOff>
    </xdr:from>
    <xdr:to>
      <xdr:col>9</xdr:col>
      <xdr:colOff>457200</xdr:colOff>
      <xdr:row>41</xdr:row>
      <xdr:rowOff>9525</xdr:rowOff>
    </xdr:to>
    <xdr:sp macro="" textlink="">
      <xdr:nvSpPr>
        <xdr:cNvPr id="22" name="Line 59"/>
        <xdr:cNvSpPr>
          <a:spLocks noChangeShapeType="1"/>
        </xdr:cNvSpPr>
      </xdr:nvSpPr>
      <xdr:spPr bwMode="auto">
        <a:xfrm>
          <a:off x="4610100" y="6391275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9</xdr:col>
      <xdr:colOff>219075</xdr:colOff>
      <xdr:row>47</xdr:row>
      <xdr:rowOff>152400</xdr:rowOff>
    </xdr:from>
    <xdr:to>
      <xdr:col>12</xdr:col>
      <xdr:colOff>0</xdr:colOff>
      <xdr:row>48</xdr:row>
      <xdr:rowOff>0</xdr:rowOff>
    </xdr:to>
    <xdr:sp macro="" textlink="">
      <xdr:nvSpPr>
        <xdr:cNvPr id="23" name="Line 62"/>
        <xdr:cNvSpPr>
          <a:spLocks noChangeShapeType="1"/>
        </xdr:cNvSpPr>
      </xdr:nvSpPr>
      <xdr:spPr bwMode="auto">
        <a:xfrm flipV="1">
          <a:off x="5676900" y="7505700"/>
          <a:ext cx="1228725" cy="952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9</xdr:col>
      <xdr:colOff>9525</xdr:colOff>
      <xdr:row>40</xdr:row>
      <xdr:rowOff>0</xdr:rowOff>
    </xdr:from>
    <xdr:to>
      <xdr:col>9</xdr:col>
      <xdr:colOff>304800</xdr:colOff>
      <xdr:row>40</xdr:row>
      <xdr:rowOff>9525</xdr:rowOff>
    </xdr:to>
    <xdr:cxnSp macro="">
      <xdr:nvCxnSpPr>
        <xdr:cNvPr id="24" name="AutoShape 63"/>
        <xdr:cNvCxnSpPr>
          <a:cxnSpLocks noChangeShapeType="1"/>
        </xdr:cNvCxnSpPr>
      </xdr:nvCxnSpPr>
      <xdr:spPr bwMode="auto">
        <a:xfrm>
          <a:off x="5467350" y="6219825"/>
          <a:ext cx="295275" cy="9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cxnSp>
    <xdr:clientData/>
  </xdr:twoCellAnchor>
  <xdr:twoCellAnchor>
    <xdr:from>
      <xdr:col>9</xdr:col>
      <xdr:colOff>114300</xdr:colOff>
      <xdr:row>41</xdr:row>
      <xdr:rowOff>57150</xdr:rowOff>
    </xdr:from>
    <xdr:to>
      <xdr:col>9</xdr:col>
      <xdr:colOff>266700</xdr:colOff>
      <xdr:row>42</xdr:row>
      <xdr:rowOff>38100</xdr:rowOff>
    </xdr:to>
    <xdr:sp macro="" textlink="">
      <xdr:nvSpPr>
        <xdr:cNvPr id="25" name="Line 64"/>
        <xdr:cNvSpPr>
          <a:spLocks noChangeShapeType="1"/>
        </xdr:cNvSpPr>
      </xdr:nvSpPr>
      <xdr:spPr bwMode="auto">
        <a:xfrm flipH="1">
          <a:off x="5572125" y="6438900"/>
          <a:ext cx="152400" cy="1428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9</xdr:col>
      <xdr:colOff>257175</xdr:colOff>
      <xdr:row>47</xdr:row>
      <xdr:rowOff>104775</xdr:rowOff>
    </xdr:from>
    <xdr:to>
      <xdr:col>9</xdr:col>
      <xdr:colOff>257175</xdr:colOff>
      <xdr:row>48</xdr:row>
      <xdr:rowOff>57150</xdr:rowOff>
    </xdr:to>
    <xdr:sp macro="" textlink="">
      <xdr:nvSpPr>
        <xdr:cNvPr id="26" name="Line 65"/>
        <xdr:cNvSpPr>
          <a:spLocks noChangeShapeType="1"/>
        </xdr:cNvSpPr>
      </xdr:nvSpPr>
      <xdr:spPr bwMode="auto">
        <a:xfrm>
          <a:off x="5715000" y="7458075"/>
          <a:ext cx="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180975</xdr:colOff>
      <xdr:row>47</xdr:row>
      <xdr:rowOff>85725</xdr:rowOff>
    </xdr:from>
    <xdr:to>
      <xdr:col>10</xdr:col>
      <xdr:colOff>180975</xdr:colOff>
      <xdr:row>48</xdr:row>
      <xdr:rowOff>38100</xdr:rowOff>
    </xdr:to>
    <xdr:sp macro="" textlink="">
      <xdr:nvSpPr>
        <xdr:cNvPr id="27" name="Line 66"/>
        <xdr:cNvSpPr>
          <a:spLocks noChangeShapeType="1"/>
        </xdr:cNvSpPr>
      </xdr:nvSpPr>
      <xdr:spPr bwMode="auto">
        <a:xfrm>
          <a:off x="6076950" y="7439025"/>
          <a:ext cx="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28575</xdr:colOff>
      <xdr:row>44</xdr:row>
      <xdr:rowOff>9525</xdr:rowOff>
    </xdr:from>
    <xdr:to>
      <xdr:col>11</xdr:col>
      <xdr:colOff>209550</xdr:colOff>
      <xdr:row>45</xdr:row>
      <xdr:rowOff>104775</xdr:rowOff>
    </xdr:to>
    <xdr:sp macro="" textlink="">
      <xdr:nvSpPr>
        <xdr:cNvPr id="28" name="Line 67"/>
        <xdr:cNvSpPr>
          <a:spLocks noChangeShapeType="1"/>
        </xdr:cNvSpPr>
      </xdr:nvSpPr>
      <xdr:spPr bwMode="auto">
        <a:xfrm flipV="1">
          <a:off x="6515100" y="6877050"/>
          <a:ext cx="180975" cy="2571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11</xdr:col>
      <xdr:colOff>257175</xdr:colOff>
      <xdr:row>40</xdr:row>
      <xdr:rowOff>180975</xdr:rowOff>
    </xdr:from>
    <xdr:to>
      <xdr:col>11</xdr:col>
      <xdr:colOff>381000</xdr:colOff>
      <xdr:row>40</xdr:row>
      <xdr:rowOff>180975</xdr:rowOff>
    </xdr:to>
    <xdr:sp macro="" textlink="">
      <xdr:nvSpPr>
        <xdr:cNvPr id="29" name="Line 68"/>
        <xdr:cNvSpPr>
          <a:spLocks noChangeShapeType="1"/>
        </xdr:cNvSpPr>
      </xdr:nvSpPr>
      <xdr:spPr bwMode="auto">
        <a:xfrm flipH="1">
          <a:off x="6743700" y="6381750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333375</xdr:colOff>
      <xdr:row>47</xdr:row>
      <xdr:rowOff>76200</xdr:rowOff>
    </xdr:from>
    <xdr:to>
      <xdr:col>11</xdr:col>
      <xdr:colOff>333375</xdr:colOff>
      <xdr:row>48</xdr:row>
      <xdr:rowOff>28575</xdr:rowOff>
    </xdr:to>
    <xdr:sp macro="" textlink="">
      <xdr:nvSpPr>
        <xdr:cNvPr id="30" name="Line 69"/>
        <xdr:cNvSpPr>
          <a:spLocks noChangeShapeType="1"/>
        </xdr:cNvSpPr>
      </xdr:nvSpPr>
      <xdr:spPr bwMode="auto">
        <a:xfrm>
          <a:off x="6819900" y="7429500"/>
          <a:ext cx="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45</xdr:row>
      <xdr:rowOff>114300</xdr:rowOff>
    </xdr:from>
    <xdr:to>
      <xdr:col>10</xdr:col>
      <xdr:colOff>171450</xdr:colOff>
      <xdr:row>47</xdr:row>
      <xdr:rowOff>38100</xdr:rowOff>
    </xdr:to>
    <xdr:cxnSp macro="">
      <xdr:nvCxnSpPr>
        <xdr:cNvPr id="31" name="AutoShape 71"/>
        <xdr:cNvCxnSpPr>
          <a:cxnSpLocks noChangeShapeType="1"/>
          <a:endCxn id="18" idx="1"/>
        </xdr:cNvCxnSpPr>
      </xdr:nvCxnSpPr>
      <xdr:spPr bwMode="auto">
        <a:xfrm flipV="1">
          <a:off x="5572125" y="7143750"/>
          <a:ext cx="495300" cy="2476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ato\mt-220\Meus%20documentos\Obra%20326AS\Medi&#231;&#245;es\DVOP\6&#170;%20Medi&#231;&#227;o%20DVOP\6&#170;%20Medi&#231;ao%20DVOP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/A%20Meus%20documentos/A%20V&#193;RZEA%20GRANDE%202018/AA%20MRV%20COND.%20CHAPADA%20%20BOSQUE/OR&#199;AMENTO/QUANTIDADE%20E%20OR&#199;AMENTO%20-%20BOSQUE%20SINAPI%2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\A%20Meus%20documentos\A%20V&#193;RZEA%20GRANDE%202017\A%20ZOPONE\CAPAO%20GRANDE%20-%20AGUACU%20READEQUACAO\TERRAPLENAGEM\DISTRIB%20DE%20MASSA%20LIMPO%20GRAND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2\MT%20-%20249%20Ent&#176;%20235%20-%20BR%20-%20163%20(nova%20mutun)%20-%20Lote%20I\MEDI&#199;&#213;ES\4&#170;_MEDI&#199;&#195;O_MT-24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AINI\Documents\MODELOS\MEDI&#199;&#213;ES\3&#170;_MEDI&#199;&#195;O_MT-249_LOTE_II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3\MT%20-%20351-241%20(MANSO)\ALA&#205;NE\EXCEL\OR&#199;AMEN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ritop-i3\arquivos%20de%20trabalho\MT%20-%20249%20%20-%20Lote%20II\ALA&#205;NE\EXCEL\LOTE%2002\OR&#199;AMENTO-MT-249%20(Km%2011-Rio%20Arinos-Entr.%20MT-010)%20-%2030%20k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secor5\MT-270%20(COLONIA%20-%20MIMOSO)\OR&#199;AMENTO%20E%20PLANO%20DE%20TRABALHO\OR&#199;AMENTO%20MT-23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SON-PC\Documents\2%20-%20PROJETOS\MT-241_NOBRES-MARZAG&#195;O\projeto%20alterado%209,00km\OR&#199;AMENTO%20-%20SINFRA%20-%20(REF.%20JULHO-2009)%20-%20ALTERADO-CANTEIRO-01-03-20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A%20Meus%20documentos/A%20V&#193;RZEA%20GRANDE%202018/ECP/C%20MOD%20ENTR&#186;.%20MT-351%20-%20LIMPO%20GRANDE%20READ.%20-%201.%202017/PROJETO%20DE%20SINALIZA&#199;&#195;O%202017/SINALIZA&#199;&#195;O%20HORIZONTAL%20FAIXA%20AMARELA%20L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anco\Downloads\HENRIQUE\Proposta%20vencedora\PROPOSTA%20-%20LOTE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LATÓRIO"/>
      <sheetName val="RESUMO-DVOP"/>
      <sheetName val="REAJU"/>
      <sheetName val="Mat Asf"/>
      <sheetName val="Crono Físico-Financeiro"/>
      <sheetName val="Plan1"/>
      <sheetName val="terraplenagem"/>
      <sheetName val="preench rebaixo em rocha"/>
      <sheetName val="DMT"/>
      <sheetName val="remoção de base antiga"/>
      <sheetName val="subbase (1)"/>
      <sheetName val="base (1)"/>
      <sheetName val="Imprimação (1)"/>
      <sheetName val="pintura de ligação (1)"/>
      <sheetName val="CBUQ (1)"/>
      <sheetName val="Binder (1)"/>
      <sheetName val="Transp-Massa (1)"/>
      <sheetName val="Transp-Brita (1)"/>
      <sheetName val="remoção de pavim (1)"/>
      <sheetName val="dreno transversal (1)"/>
      <sheetName val="meio fio com sarjeta conjug (1)"/>
      <sheetName val="base (2)"/>
      <sheetName val="transp mat jaz (2)"/>
      <sheetName val="remoçao de pavim (1)"/>
      <sheetName val="Pintura de ligação (2)"/>
      <sheetName val="CBUQ (2)"/>
      <sheetName val="Transp-Massa (2)"/>
      <sheetName val="Transp-Brita (2)"/>
      <sheetName val="RESUMO_DVOP"/>
      <sheetName val="Aux.da anterior"/>
      <sheetName val="Cubação"/>
      <sheetName val="Desmat"/>
      <sheetName val="Croqui"/>
      <sheetName val="CALCULOS AUXILIARES"/>
      <sheetName val="Pato"/>
    </sheetNames>
    <sheetDataSet>
      <sheetData sheetId="0" refreshError="1"/>
      <sheetData sheetId="1" refreshError="1">
        <row r="2">
          <cell r="B2" t="str">
            <v>OBRA: Complementação da Restauração de Rodovias Pavimentadas e Melhoramentos</v>
          </cell>
        </row>
        <row r="3">
          <cell r="B3" t="str">
            <v>RODOVIA/PROGRAMA: MT-358</v>
          </cell>
        </row>
        <row r="4">
          <cell r="B4" t="str">
            <v>TRECHO: Tangará da Serra - Assari</v>
          </cell>
        </row>
        <row r="5">
          <cell r="B5" t="str">
            <v>SUB-TRECHO: Tangará da Serra - Entrº MT-343</v>
          </cell>
        </row>
        <row r="6">
          <cell r="B6" t="str">
            <v>CONTRATO: 005/2001/00/00-P.Jur.</v>
          </cell>
        </row>
        <row r="7">
          <cell r="B7" t="str">
            <v>REFERÊNCIA (nº ordem med./aval): 6ª Medição Provisória</v>
          </cell>
        </row>
        <row r="8">
          <cell r="B8" t="str">
            <v>PERÍODO SIMPLES: 01/08/01 à 31/08/01</v>
          </cell>
        </row>
        <row r="9">
          <cell r="B9" t="str">
            <v>FIRMA: CONSTRUTORA TRIUNFO S/A</v>
          </cell>
        </row>
        <row r="10">
          <cell r="B10" t="str">
            <v>RELATÓRIO  DOS  SERVIÇOS  EXECUTADOS</v>
          </cell>
        </row>
        <row r="11">
          <cell r="B11" t="str">
            <v>CÓDIGO</v>
          </cell>
          <cell r="C11" t="str">
            <v>DISCRIMINAÇÃO</v>
          </cell>
          <cell r="D11" t="str">
            <v>UNID.</v>
          </cell>
        </row>
        <row r="12">
          <cell r="C12" t="str">
            <v>MELHORAMENTOS</v>
          </cell>
        </row>
        <row r="13">
          <cell r="B13">
            <v>40000</v>
          </cell>
          <cell r="C13" t="str">
            <v>TERRAPLENAGEM</v>
          </cell>
        </row>
        <row r="14">
          <cell r="B14">
            <v>40110</v>
          </cell>
          <cell r="C14" t="str">
            <v>Desmatamento, destocamento e limpeza em mata</v>
          </cell>
          <cell r="D14" t="str">
            <v>m²</v>
          </cell>
        </row>
        <row r="15">
          <cell r="B15">
            <v>40140</v>
          </cell>
          <cell r="C15" t="str">
            <v>Remoção e limpeza da camada vegetal</v>
          </cell>
          <cell r="D15" t="str">
            <v>m²</v>
          </cell>
        </row>
        <row r="16">
          <cell r="B16">
            <v>40201</v>
          </cell>
          <cell r="C16" t="str">
            <v>Escavação, carga e transp. de mat. de 1ª cat. DMT &lt; 50 m</v>
          </cell>
          <cell r="D16" t="str">
            <v>m³</v>
          </cell>
        </row>
        <row r="17">
          <cell r="B17">
            <v>40202</v>
          </cell>
          <cell r="C17" t="str">
            <v>Escavação, carga e transp. de mat. de 1ª cat. 50 &lt; DMT &lt; 200 m</v>
          </cell>
          <cell r="D17" t="str">
            <v>m³</v>
          </cell>
        </row>
        <row r="18">
          <cell r="B18">
            <v>40203</v>
          </cell>
          <cell r="C18" t="str">
            <v>Escavação, carga e transp. de mat. de 1ª cat. 200 &lt; DMT &lt; 400 m</v>
          </cell>
          <cell r="D18" t="str">
            <v>m³</v>
          </cell>
        </row>
        <row r="19">
          <cell r="B19">
            <v>40204</v>
          </cell>
          <cell r="C19" t="str">
            <v>Escavação, carga e transp. de mat. de 1ª cat. 400 &lt; DMT &lt; 600 m</v>
          </cell>
          <cell r="D19" t="str">
            <v>m³</v>
          </cell>
        </row>
        <row r="20">
          <cell r="B20">
            <v>40205</v>
          </cell>
          <cell r="C20" t="str">
            <v>Escavação, carga e transp. de mat. de 1ª cat. 600 &lt; DMT &lt; 800 m</v>
          </cell>
          <cell r="D20" t="str">
            <v>m³</v>
          </cell>
        </row>
        <row r="21">
          <cell r="B21">
            <v>40206</v>
          </cell>
          <cell r="C21" t="str">
            <v>Escavação, carga e transp. de mat. de 1ª cat. 800 &lt; DMT &lt; 1000 m</v>
          </cell>
          <cell r="D21" t="str">
            <v>m³</v>
          </cell>
        </row>
        <row r="22">
          <cell r="B22">
            <v>40207</v>
          </cell>
          <cell r="C22" t="str">
            <v>Escavação, carga e transp. de mat. de 1ª cat. 1000 &lt; DMT &lt; 1200 m</v>
          </cell>
          <cell r="D22" t="str">
            <v>m³</v>
          </cell>
        </row>
        <row r="23">
          <cell r="B23">
            <v>40209</v>
          </cell>
          <cell r="C23" t="str">
            <v>Escavação, carga e transp. de mat. de 1ª cat. 1400 &lt; DMT &lt; 1600 m</v>
          </cell>
          <cell r="D23" t="str">
            <v>m³</v>
          </cell>
        </row>
        <row r="24">
          <cell r="B24">
            <v>40211</v>
          </cell>
          <cell r="C24" t="str">
            <v>Escavação, carga e transp. de mat. de 1ª cat. 1800 &lt; DMT &lt; 2000 m</v>
          </cell>
          <cell r="D24" t="str">
            <v>m³</v>
          </cell>
        </row>
        <row r="25">
          <cell r="B25">
            <v>40212</v>
          </cell>
          <cell r="C25" t="str">
            <v>Escavação, carga e transp. de mat. de 1ª cat. 2000 &lt; DMT &lt; 3000 m</v>
          </cell>
          <cell r="D25" t="str">
            <v>m³</v>
          </cell>
        </row>
        <row r="26">
          <cell r="B26">
            <v>40301</v>
          </cell>
          <cell r="C26" t="str">
            <v>Escavação, carga e transp. de mat. de 2ª cat. DMT &lt; 50 m</v>
          </cell>
          <cell r="D26" t="str">
            <v>m³</v>
          </cell>
        </row>
        <row r="27">
          <cell r="B27">
            <v>40302</v>
          </cell>
          <cell r="C27" t="str">
            <v>Escavação, carga e transp. de mat. de 2ª cat. 50 &lt; DMT &lt; 200 m</v>
          </cell>
          <cell r="D27" t="str">
            <v>m³</v>
          </cell>
        </row>
        <row r="28">
          <cell r="B28">
            <v>40303</v>
          </cell>
          <cell r="C28" t="str">
            <v>Escavação, carga e transp. de mat. de 2ª cat. 200 &lt; DMT &lt; 400 m</v>
          </cell>
          <cell r="D28" t="str">
            <v>m³</v>
          </cell>
        </row>
        <row r="29">
          <cell r="B29">
            <v>40304</v>
          </cell>
          <cell r="C29" t="str">
            <v>Escavação, carga e transp. de mat. de 2ª cat. 400 &lt; DMT &lt; 600 m</v>
          </cell>
          <cell r="D29" t="str">
            <v>m³</v>
          </cell>
        </row>
        <row r="30">
          <cell r="B30">
            <v>40305</v>
          </cell>
          <cell r="C30" t="str">
            <v>Escavação, carga e transp. de mat. de 2ª cat. 600 &lt; DMT &lt; 800 m</v>
          </cell>
          <cell r="D30" t="str">
            <v>m³</v>
          </cell>
          <cell r="I30">
            <v>6159.39</v>
          </cell>
        </row>
        <row r="31">
          <cell r="B31">
            <v>40306</v>
          </cell>
          <cell r="C31" t="str">
            <v>Escavação, carga e transp. de mat. de 2ª cat. 800 &lt; DMT &lt; 1000 m</v>
          </cell>
          <cell r="D31" t="str">
            <v>m³</v>
          </cell>
          <cell r="I31">
            <v>1052.415</v>
          </cell>
        </row>
        <row r="32">
          <cell r="B32">
            <v>40401</v>
          </cell>
          <cell r="C32" t="str">
            <v>Escavação, carga e transp. de mat. de 3ª cat. DMT &lt; 50 m</v>
          </cell>
          <cell r="D32" t="str">
            <v>m³</v>
          </cell>
        </row>
        <row r="33">
          <cell r="B33">
            <v>40402</v>
          </cell>
          <cell r="C33" t="str">
            <v>Escavação, carga e transp. de mat. de 3ª cat. 50 &lt; DMT &lt; 200 m</v>
          </cell>
          <cell r="D33" t="str">
            <v>m³</v>
          </cell>
        </row>
        <row r="34">
          <cell r="B34">
            <v>40403</v>
          </cell>
          <cell r="C34" t="str">
            <v>Escavação, carga e transp. de mat. de 3ª cat. 200 &lt; DMT &lt; 400 m</v>
          </cell>
          <cell r="D34" t="str">
            <v>m³</v>
          </cell>
        </row>
        <row r="35">
          <cell r="B35">
            <v>40404</v>
          </cell>
          <cell r="C35" t="str">
            <v>Escavação, carga e transp. de mat. de 3ª cat. 400 &lt; DMT &lt; 600 m</v>
          </cell>
          <cell r="D35" t="str">
            <v>m³</v>
          </cell>
        </row>
        <row r="36">
          <cell r="B36">
            <v>40405</v>
          </cell>
          <cell r="C36" t="str">
            <v>Escavação, carga e transp. de mat. de 3ª cat. 600 &lt; DMT &lt; 800 m</v>
          </cell>
          <cell r="D36" t="str">
            <v>m³</v>
          </cell>
        </row>
        <row r="37">
          <cell r="B37">
            <v>40406</v>
          </cell>
          <cell r="C37" t="str">
            <v>Escavação, carga e transp. de mat. de 3ª cat. 800 &lt; DMT &lt; 1000 m</v>
          </cell>
          <cell r="D37" t="str">
            <v>m³</v>
          </cell>
        </row>
        <row r="38">
          <cell r="B38">
            <v>40407</v>
          </cell>
          <cell r="C38" t="str">
            <v>Escavação, carga e transp. de mat. de 3ª cat. 1000 &lt; DMT &lt; 1200 m</v>
          </cell>
          <cell r="D38" t="str">
            <v>m³</v>
          </cell>
        </row>
        <row r="39">
          <cell r="B39">
            <v>40510</v>
          </cell>
          <cell r="C39" t="str">
            <v>Compactação de aterros a 95% do Proctor Normal</v>
          </cell>
          <cell r="D39" t="str">
            <v>m³</v>
          </cell>
        </row>
        <row r="40">
          <cell r="B40">
            <v>40520</v>
          </cell>
          <cell r="C40" t="str">
            <v>Compactação de aterros a 100% do Proctor Normal</v>
          </cell>
          <cell r="D40" t="str">
            <v>m³</v>
          </cell>
        </row>
        <row r="41">
          <cell r="B41">
            <v>40710</v>
          </cell>
          <cell r="C41" t="str">
            <v>Preenchimento de rebaixo em rocha</v>
          </cell>
          <cell r="D41" t="str">
            <v>m³</v>
          </cell>
        </row>
        <row r="43">
          <cell r="B43">
            <v>50000</v>
          </cell>
          <cell r="C43" t="str">
            <v>PAVIMENTAÇÃO</v>
          </cell>
        </row>
        <row r="44">
          <cell r="B44">
            <v>50100</v>
          </cell>
          <cell r="C44" t="str">
            <v>Regularização do sub-leito</v>
          </cell>
          <cell r="D44" t="str">
            <v>m²</v>
          </cell>
        </row>
        <row r="45">
          <cell r="B45">
            <v>50210</v>
          </cell>
          <cell r="C45" t="str">
            <v>Sub-base de solo estabilizado sem mistura</v>
          </cell>
          <cell r="D45" t="str">
            <v>m³</v>
          </cell>
        </row>
        <row r="46">
          <cell r="B46">
            <v>50230</v>
          </cell>
          <cell r="C46" t="str">
            <v>Base de solo estabilizado sem mistura</v>
          </cell>
          <cell r="D46" t="str">
            <v>m³</v>
          </cell>
        </row>
        <row r="47">
          <cell r="B47">
            <v>50610</v>
          </cell>
          <cell r="C47" t="str">
            <v>Imprimação asfáltica - execução</v>
          </cell>
          <cell r="D47" t="str">
            <v>m²</v>
          </cell>
        </row>
        <row r="48">
          <cell r="B48">
            <v>50620</v>
          </cell>
          <cell r="C48" t="str">
            <v>Pintura de ligação - execução</v>
          </cell>
          <cell r="D48" t="str">
            <v>m²</v>
          </cell>
        </row>
        <row r="49">
          <cell r="B49">
            <v>50740</v>
          </cell>
          <cell r="C49" t="str">
            <v>Concreto betuminoso usinado a quente</v>
          </cell>
          <cell r="D49" t="str">
            <v>m³</v>
          </cell>
        </row>
        <row r="50">
          <cell r="B50">
            <v>50745</v>
          </cell>
          <cell r="C50" t="str">
            <v>Concreto betuminoso usinado a quente para Binder</v>
          </cell>
          <cell r="D50" t="str">
            <v>m³</v>
          </cell>
        </row>
        <row r="51">
          <cell r="B51">
            <v>52010</v>
          </cell>
          <cell r="C51" t="str">
            <v>Transporte de material de jazida para sub-base e base</v>
          </cell>
          <cell r="D51" t="str">
            <v>m³xkm</v>
          </cell>
        </row>
        <row r="52">
          <cell r="B52">
            <v>52100</v>
          </cell>
          <cell r="C52" t="str">
            <v>Fornecimento e transporte de cimento asfáltico penetração CAP-20</v>
          </cell>
          <cell r="D52" t="str">
            <v>t</v>
          </cell>
        </row>
        <row r="53">
          <cell r="B53">
            <v>52200</v>
          </cell>
          <cell r="C53" t="str">
            <v>Fornecimento e transporte de asfalto CM-30</v>
          </cell>
          <cell r="D53" t="str">
            <v>t</v>
          </cell>
        </row>
        <row r="54">
          <cell r="B54">
            <v>52300</v>
          </cell>
          <cell r="C54" t="str">
            <v>Fornecimento e transporte de emulsão asfáltica RR-2C</v>
          </cell>
          <cell r="D54" t="str">
            <v>t</v>
          </cell>
        </row>
        <row r="55">
          <cell r="B55">
            <v>90219</v>
          </cell>
          <cell r="C55" t="str">
            <v>Remoção de pavimento</v>
          </cell>
          <cell r="D55" t="str">
            <v>m³</v>
          </cell>
        </row>
        <row r="56">
          <cell r="B56">
            <v>90543</v>
          </cell>
          <cell r="C56" t="str">
            <v>Transporte de C.B.U.Q. / Binder</v>
          </cell>
          <cell r="D56" t="str">
            <v>txkm</v>
          </cell>
        </row>
        <row r="58">
          <cell r="B58">
            <v>55000</v>
          </cell>
          <cell r="C58" t="str">
            <v>DRENAGEM</v>
          </cell>
        </row>
        <row r="59">
          <cell r="B59">
            <v>55110</v>
          </cell>
          <cell r="C59" t="str">
            <v>Dreno longitudinal para corte em rocha</v>
          </cell>
          <cell r="D59" t="str">
            <v>m</v>
          </cell>
        </row>
        <row r="60">
          <cell r="B60">
            <v>55130</v>
          </cell>
          <cell r="C60" t="str">
            <v>Dreno longitudinal para corte em solo tipo B (com Bidim)</v>
          </cell>
          <cell r="D60" t="str">
            <v>m</v>
          </cell>
        </row>
        <row r="61">
          <cell r="B61">
            <v>55150</v>
          </cell>
          <cell r="C61" t="str">
            <v>Dreno transversal de base</v>
          </cell>
          <cell r="D61" t="str">
            <v>m</v>
          </cell>
        </row>
        <row r="62">
          <cell r="B62">
            <v>55310</v>
          </cell>
          <cell r="C62" t="str">
            <v>Valeta de proteção sem revestimento</v>
          </cell>
          <cell r="D62" t="str">
            <v>m</v>
          </cell>
        </row>
        <row r="63">
          <cell r="B63">
            <v>55320</v>
          </cell>
          <cell r="C63" t="str">
            <v>Valeta de proteção com revestimento vegetal</v>
          </cell>
          <cell r="D63" t="str">
            <v>m</v>
          </cell>
        </row>
        <row r="64">
          <cell r="B64">
            <v>55330</v>
          </cell>
          <cell r="C64" t="str">
            <v>Valeta de proteção com revestimento em concreto para corte</v>
          </cell>
          <cell r="D64" t="str">
            <v>m</v>
          </cell>
        </row>
        <row r="65">
          <cell r="C65" t="str">
            <v>COMISSÃO DE FISCALIZAÇÃO</v>
          </cell>
        </row>
        <row r="72">
          <cell r="B72">
            <v>55340</v>
          </cell>
          <cell r="C72" t="str">
            <v>Valeta de proteção com revestimento em concreto para aterro</v>
          </cell>
          <cell r="D72" t="str">
            <v>m</v>
          </cell>
        </row>
        <row r="73">
          <cell r="B73">
            <v>55410</v>
          </cell>
          <cell r="C73" t="str">
            <v>Meio fio simples</v>
          </cell>
          <cell r="D73" t="str">
            <v>m</v>
          </cell>
        </row>
        <row r="74">
          <cell r="B74">
            <v>55500</v>
          </cell>
          <cell r="C74" t="str">
            <v>Meio fio com sarjeta conjugada</v>
          </cell>
          <cell r="D74" t="str">
            <v>m</v>
          </cell>
        </row>
        <row r="75">
          <cell r="B75">
            <v>55501</v>
          </cell>
          <cell r="C75" t="str">
            <v>Entrada d'água tipo I</v>
          </cell>
          <cell r="D75" t="str">
            <v>ud</v>
          </cell>
        </row>
        <row r="76">
          <cell r="B76">
            <v>55502</v>
          </cell>
          <cell r="C76" t="str">
            <v>Entrada d'água tipo II</v>
          </cell>
          <cell r="D76" t="str">
            <v>ud</v>
          </cell>
        </row>
        <row r="77">
          <cell r="B77">
            <v>55503</v>
          </cell>
          <cell r="C77" t="str">
            <v>Descida d'água tipo I</v>
          </cell>
          <cell r="D77" t="str">
            <v>m</v>
          </cell>
        </row>
        <row r="78">
          <cell r="B78">
            <v>55504</v>
          </cell>
          <cell r="C78" t="str">
            <v>Descida d'água tipo II</v>
          </cell>
          <cell r="D78" t="str">
            <v>m</v>
          </cell>
        </row>
        <row r="79">
          <cell r="B79">
            <v>55505</v>
          </cell>
          <cell r="C79" t="str">
            <v>Bacia de amortecimento tipo I e II</v>
          </cell>
          <cell r="D79" t="str">
            <v>ud</v>
          </cell>
        </row>
        <row r="80">
          <cell r="B80">
            <v>55510</v>
          </cell>
          <cell r="C80" t="str">
            <v>Sarjeta de corte tipo A</v>
          </cell>
          <cell r="D80" t="str">
            <v>m</v>
          </cell>
        </row>
        <row r="81">
          <cell r="B81">
            <v>55610</v>
          </cell>
          <cell r="C81" t="str">
            <v>Saída d'água de sarjeta tipo A</v>
          </cell>
          <cell r="D81" t="str">
            <v>ud</v>
          </cell>
        </row>
        <row r="82">
          <cell r="B82">
            <v>55720</v>
          </cell>
          <cell r="C82" t="str">
            <v>Caixa coletora tipo B</v>
          </cell>
          <cell r="D82" t="str">
            <v>ud</v>
          </cell>
        </row>
        <row r="84">
          <cell r="B84">
            <v>60000</v>
          </cell>
          <cell r="C84" t="str">
            <v>OBRAS DE ARTE CORRENTES</v>
          </cell>
        </row>
        <row r="85">
          <cell r="B85">
            <v>60103</v>
          </cell>
          <cell r="C85" t="str">
            <v>Corpo de BSTC ø = 0,80 m, tipo CA-1, inclusive berço</v>
          </cell>
          <cell r="D85" t="str">
            <v>m</v>
          </cell>
        </row>
        <row r="86">
          <cell r="B86">
            <v>60104</v>
          </cell>
          <cell r="C86" t="str">
            <v>Corpo de BSTC ø = 1,00 m, tipo CA-1, inclusive berço</v>
          </cell>
          <cell r="D86" t="str">
            <v>m</v>
          </cell>
        </row>
        <row r="87">
          <cell r="B87">
            <v>60105</v>
          </cell>
          <cell r="C87" t="str">
            <v>Corpo de BSTC ø = 1,20 m, tipo CA-1, inclusive berço</v>
          </cell>
          <cell r="D87" t="str">
            <v>m</v>
          </cell>
        </row>
        <row r="88">
          <cell r="B88">
            <v>60108</v>
          </cell>
          <cell r="C88" t="str">
            <v>Corpo de BDTC ø = 1,20 m, tipo CA-1, inclusive berço</v>
          </cell>
          <cell r="D88" t="str">
            <v>m</v>
          </cell>
        </row>
        <row r="89">
          <cell r="B89">
            <v>60111</v>
          </cell>
          <cell r="C89" t="str">
            <v>Corpo de BTTC ø = 1,00 m, tipo CA-1, inclusive berço</v>
          </cell>
          <cell r="D89" t="str">
            <v>m</v>
          </cell>
        </row>
        <row r="90">
          <cell r="B90">
            <v>60112</v>
          </cell>
          <cell r="C90" t="str">
            <v>Corpo de BTTC ø = 1,20 m, tipo CA-1, inclusive berço</v>
          </cell>
          <cell r="D90" t="str">
            <v>m</v>
          </cell>
        </row>
        <row r="91">
          <cell r="B91">
            <v>60203</v>
          </cell>
          <cell r="C91" t="str">
            <v>Boca de bueiro simples tubular de concreto ø = 0,80 m</v>
          </cell>
          <cell r="D91" t="str">
            <v>ud</v>
          </cell>
        </row>
        <row r="92">
          <cell r="B92">
            <v>60204</v>
          </cell>
          <cell r="C92" t="str">
            <v>Boca de bueiro simples tubular de concreto ø = 1,00 m</v>
          </cell>
          <cell r="D92" t="str">
            <v>ud</v>
          </cell>
        </row>
        <row r="93">
          <cell r="B93">
            <v>60205</v>
          </cell>
          <cell r="C93" t="str">
            <v>Boca de bueiro simples tubular de concreto ø = 1,20 m</v>
          </cell>
          <cell r="D93" t="str">
            <v>ud</v>
          </cell>
        </row>
        <row r="94">
          <cell r="B94">
            <v>60208</v>
          </cell>
          <cell r="C94" t="str">
            <v>Boca de bueiro duplo tubular de concreto ø = 1,20 m</v>
          </cell>
          <cell r="D94" t="str">
            <v>ud</v>
          </cell>
        </row>
        <row r="95">
          <cell r="B95">
            <v>60211</v>
          </cell>
          <cell r="C95" t="str">
            <v>Boca de bueiro triplo tubular de concreto ø = 1,00 m</v>
          </cell>
          <cell r="D95" t="str">
            <v>ud</v>
          </cell>
        </row>
        <row r="96">
          <cell r="B96">
            <v>60212</v>
          </cell>
          <cell r="C96" t="str">
            <v>Boca de bueiro triplo tubular de concreto ø = 1,20 m</v>
          </cell>
          <cell r="D96" t="str">
            <v>ud</v>
          </cell>
        </row>
        <row r="97">
          <cell r="B97">
            <v>61130</v>
          </cell>
          <cell r="C97" t="str">
            <v>Escavação manual de valas em material de 3ª categoria</v>
          </cell>
          <cell r="D97" t="str">
            <v>m³</v>
          </cell>
        </row>
        <row r="98">
          <cell r="B98">
            <v>61140</v>
          </cell>
          <cell r="C98" t="str">
            <v>Escavação mecânica de valas em material de 1ª categoria</v>
          </cell>
          <cell r="D98" t="str">
            <v>m³</v>
          </cell>
        </row>
        <row r="99">
          <cell r="B99">
            <v>61150</v>
          </cell>
          <cell r="C99" t="str">
            <v>Escavação mecânica de valas em material de 2ª categoria</v>
          </cell>
          <cell r="D99" t="str">
            <v>m³</v>
          </cell>
        </row>
        <row r="100">
          <cell r="B100">
            <v>61160</v>
          </cell>
          <cell r="C100" t="str">
            <v>Reaterro e compactação com placa vibratória</v>
          </cell>
          <cell r="D100" t="str">
            <v>m³</v>
          </cell>
        </row>
        <row r="101">
          <cell r="B101">
            <v>61200</v>
          </cell>
          <cell r="C101" t="str">
            <v>Demolição de estrutura de concreto</v>
          </cell>
          <cell r="D101" t="str">
            <v>m³</v>
          </cell>
        </row>
        <row r="102">
          <cell r="B102">
            <v>61410</v>
          </cell>
          <cell r="C102" t="str">
            <v>Remoção de bueiros tubulares</v>
          </cell>
          <cell r="D102" t="str">
            <v>m</v>
          </cell>
        </row>
        <row r="104">
          <cell r="B104">
            <v>80000</v>
          </cell>
          <cell r="C104" t="str">
            <v>OBRAS COMPLEMENTARES</v>
          </cell>
        </row>
        <row r="105">
          <cell r="B105">
            <v>80110</v>
          </cell>
          <cell r="C105" t="str">
            <v>Remoção e reconstrução de cercas</v>
          </cell>
          <cell r="D105" t="str">
            <v>m</v>
          </cell>
        </row>
        <row r="106">
          <cell r="B106">
            <v>80210</v>
          </cell>
          <cell r="C106" t="str">
            <v>Defensa com perfil e suporte metálico</v>
          </cell>
          <cell r="D106" t="str">
            <v>m</v>
          </cell>
        </row>
        <row r="107">
          <cell r="B107">
            <v>80302</v>
          </cell>
          <cell r="C107" t="str">
            <v>Placa de regulamentação circular ø = 1,00 m</v>
          </cell>
          <cell r="D107" t="str">
            <v>ud</v>
          </cell>
        </row>
        <row r="108">
          <cell r="B108">
            <v>80304</v>
          </cell>
          <cell r="C108" t="str">
            <v>Placa de regulamentação triangular L = 1,00 m</v>
          </cell>
          <cell r="D108" t="str">
            <v>ud</v>
          </cell>
        </row>
        <row r="109">
          <cell r="B109">
            <v>80305</v>
          </cell>
          <cell r="C109" t="str">
            <v>Placa de regulamentação de parada obrigatória (octagonal)</v>
          </cell>
          <cell r="D109" t="str">
            <v>ud</v>
          </cell>
        </row>
        <row r="110">
          <cell r="B110">
            <v>80307</v>
          </cell>
          <cell r="C110" t="str">
            <v>Placa de advertência (1,00 x 1,00 m)</v>
          </cell>
          <cell r="D110" t="str">
            <v>ud</v>
          </cell>
        </row>
        <row r="111">
          <cell r="B111">
            <v>80310</v>
          </cell>
          <cell r="C111" t="str">
            <v>Placa de identificação de rodovia</v>
          </cell>
          <cell r="D111" t="str">
            <v>ud</v>
          </cell>
        </row>
        <row r="112">
          <cell r="B112">
            <v>80332</v>
          </cell>
          <cell r="C112" t="str">
            <v>Placa de indicação (2,00 x 1,00 m)</v>
          </cell>
          <cell r="D112" t="str">
            <v>ud</v>
          </cell>
        </row>
        <row r="113">
          <cell r="B113">
            <v>80415</v>
          </cell>
          <cell r="C113" t="str">
            <v>Pintura de faixas horizontais para 2 anos de duração</v>
          </cell>
          <cell r="D113" t="str">
            <v>m²</v>
          </cell>
        </row>
        <row r="114">
          <cell r="B114">
            <v>80425</v>
          </cell>
          <cell r="C114" t="str">
            <v>Pintura de setas e zebrados para 2 anos de duração</v>
          </cell>
          <cell r="D114" t="str">
            <v>m²</v>
          </cell>
        </row>
        <row r="115">
          <cell r="B115">
            <v>80430</v>
          </cell>
          <cell r="C115" t="str">
            <v>Tacha refletiva bidirecional</v>
          </cell>
          <cell r="D115" t="str">
            <v>ud</v>
          </cell>
        </row>
        <row r="116">
          <cell r="B116">
            <v>80435</v>
          </cell>
          <cell r="C116" t="str">
            <v>Tachão refletivo bidirecional</v>
          </cell>
          <cell r="D116" t="str">
            <v>ud</v>
          </cell>
        </row>
        <row r="117">
          <cell r="B117">
            <v>80512</v>
          </cell>
          <cell r="C117" t="str">
            <v>Plantio de gramas em placas</v>
          </cell>
          <cell r="D117" t="str">
            <v>m²</v>
          </cell>
        </row>
        <row r="118">
          <cell r="C118" t="str">
            <v>Barreira de concreto do tipo New Jersey</v>
          </cell>
          <cell r="D118" t="str">
            <v>m</v>
          </cell>
        </row>
        <row r="119">
          <cell r="C119" t="str">
            <v>Início/final de barreira tipo New Jersey</v>
          </cell>
          <cell r="D119" t="str">
            <v>ud</v>
          </cell>
        </row>
        <row r="121">
          <cell r="C121" t="str">
            <v>RESTAURAÇÃO</v>
          </cell>
        </row>
        <row r="122">
          <cell r="B122">
            <v>90000</v>
          </cell>
          <cell r="C122" t="str">
            <v>SERVIÇOS DE CONSERVAÇÃO</v>
          </cell>
        </row>
        <row r="123">
          <cell r="B123">
            <v>90110</v>
          </cell>
          <cell r="C123" t="str">
            <v>Tapa buraco com mistura betuminosa</v>
          </cell>
          <cell r="D123" t="str">
            <v>m³</v>
          </cell>
        </row>
        <row r="124">
          <cell r="B124">
            <v>90115</v>
          </cell>
          <cell r="C124" t="str">
            <v>Limpeza manual de vala de drenagem</v>
          </cell>
          <cell r="D124" t="str">
            <v>m</v>
          </cell>
        </row>
        <row r="125">
          <cell r="C125" t="str">
            <v>COMISSÃO DE FISCALIZAÇÃO</v>
          </cell>
        </row>
        <row r="132">
          <cell r="B132">
            <v>90118</v>
          </cell>
          <cell r="C132" t="str">
            <v>Desobstrução de bueiro</v>
          </cell>
          <cell r="D132" t="str">
            <v>m³</v>
          </cell>
        </row>
        <row r="134">
          <cell r="B134">
            <v>40000</v>
          </cell>
          <cell r="C134" t="str">
            <v>TERRAPLENAGEM</v>
          </cell>
        </row>
        <row r="135">
          <cell r="B135">
            <v>40110</v>
          </cell>
          <cell r="C135" t="str">
            <v>Desmatamento, destocamento e limpeza em mata</v>
          </cell>
          <cell r="D135" t="str">
            <v>m²</v>
          </cell>
        </row>
        <row r="136">
          <cell r="B136">
            <v>40202</v>
          </cell>
          <cell r="C136" t="str">
            <v>Escavação, carga e transp. de mat. de 1ª cat. 50 &lt; DMT &lt; 200 m</v>
          </cell>
          <cell r="D136" t="str">
            <v>m³</v>
          </cell>
        </row>
        <row r="137">
          <cell r="B137">
            <v>40203</v>
          </cell>
          <cell r="C137" t="str">
            <v>Escavação, carga e transp. de mat. de 1ª cat. 200 &lt; DMT &lt; 400 m</v>
          </cell>
          <cell r="D137" t="str">
            <v>m³</v>
          </cell>
        </row>
        <row r="138">
          <cell r="B138">
            <v>40205</v>
          </cell>
          <cell r="C138" t="str">
            <v>Escavação, carga e transp. de mat. de 1ª cat. 600 &lt; DMT &lt; 800 m</v>
          </cell>
          <cell r="D138" t="str">
            <v>m³</v>
          </cell>
        </row>
        <row r="139">
          <cell r="B139">
            <v>40206</v>
          </cell>
          <cell r="C139" t="str">
            <v>Escavação, carga e transp. de mat. de 1ª cat. 800 &lt; DMT &lt; 1000 m</v>
          </cell>
          <cell r="D139" t="str">
            <v>m³</v>
          </cell>
        </row>
        <row r="140">
          <cell r="B140">
            <v>40401</v>
          </cell>
          <cell r="C140" t="str">
            <v>Escavação, carga e transp. de mat. de 3ª cat. DMT &lt; 50 m</v>
          </cell>
          <cell r="D140" t="str">
            <v>m³</v>
          </cell>
        </row>
        <row r="141">
          <cell r="B141">
            <v>40402</v>
          </cell>
          <cell r="C141" t="str">
            <v>Escavação, carga e transp. de mat. de 3ª cat. 50 &lt; DMT &lt; 200 m</v>
          </cell>
          <cell r="D141" t="str">
            <v>m³</v>
          </cell>
        </row>
        <row r="142">
          <cell r="B142">
            <v>40403</v>
          </cell>
          <cell r="C142" t="str">
            <v>Escavação, carga e transp. de mat. de 3ª cat. 200 &lt; DMT &lt; 400 m</v>
          </cell>
          <cell r="D142" t="str">
            <v>m³</v>
          </cell>
        </row>
        <row r="143">
          <cell r="B143">
            <v>40404</v>
          </cell>
          <cell r="C143" t="str">
            <v>Escavação, carga e transp. de mat. de 3ª cat. 400 &lt; DMT &lt; 600 m</v>
          </cell>
          <cell r="D143" t="str">
            <v>m³</v>
          </cell>
        </row>
        <row r="144">
          <cell r="B144">
            <v>40510</v>
          </cell>
          <cell r="C144" t="str">
            <v>Compactação de aterros a 95% do Proctor Normal</v>
          </cell>
          <cell r="D144" t="str">
            <v>m³</v>
          </cell>
        </row>
        <row r="145">
          <cell r="B145">
            <v>40520</v>
          </cell>
          <cell r="C145" t="str">
            <v>Compactação de aterros a 100% do Proctor Normal</v>
          </cell>
          <cell r="D145" t="str">
            <v>m³</v>
          </cell>
        </row>
        <row r="147">
          <cell r="B147">
            <v>50000</v>
          </cell>
          <cell r="C147" t="str">
            <v>PAVIMENTAÇÃO</v>
          </cell>
        </row>
        <row r="148">
          <cell r="B148">
            <v>40910</v>
          </cell>
          <cell r="C148" t="str">
            <v>Transporte de brita</v>
          </cell>
          <cell r="D148" t="str">
            <v>txkm</v>
          </cell>
        </row>
        <row r="149">
          <cell r="B149">
            <v>50100</v>
          </cell>
          <cell r="C149" t="str">
            <v>Regularização do sub-leito</v>
          </cell>
          <cell r="D149" t="str">
            <v>m²</v>
          </cell>
        </row>
        <row r="150">
          <cell r="B150">
            <v>50210</v>
          </cell>
          <cell r="C150" t="str">
            <v>Sub-base de solo estabilizado sem mistura</v>
          </cell>
          <cell r="D150" t="str">
            <v>m³</v>
          </cell>
        </row>
        <row r="151">
          <cell r="B151">
            <v>50230</v>
          </cell>
          <cell r="C151" t="str">
            <v>Base de solo estabilizado sem mistura</v>
          </cell>
          <cell r="D151" t="str">
            <v>m³</v>
          </cell>
        </row>
        <row r="152">
          <cell r="B152">
            <v>50610</v>
          </cell>
          <cell r="C152" t="str">
            <v>Imprimação asfáltica - execução</v>
          </cell>
          <cell r="D152" t="str">
            <v>m²</v>
          </cell>
        </row>
        <row r="153">
          <cell r="B153">
            <v>50620</v>
          </cell>
          <cell r="C153" t="str">
            <v>Pintura de ligação - execução</v>
          </cell>
          <cell r="D153" t="str">
            <v>m²</v>
          </cell>
        </row>
        <row r="154">
          <cell r="B154">
            <v>50740</v>
          </cell>
          <cell r="C154" t="str">
            <v>Concreto betuminoso usinado a quente</v>
          </cell>
          <cell r="D154" t="str">
            <v>m³</v>
          </cell>
        </row>
        <row r="155">
          <cell r="B155">
            <v>50745</v>
          </cell>
          <cell r="C155" t="str">
            <v>Concreto betuminoso usinado a quente para Binder</v>
          </cell>
          <cell r="D155" t="str">
            <v>m³</v>
          </cell>
        </row>
        <row r="156">
          <cell r="B156">
            <v>52010</v>
          </cell>
          <cell r="C156" t="str">
            <v>Transporte de material de jazida para sub-base e base</v>
          </cell>
          <cell r="D156" t="str">
            <v>m³xkm</v>
          </cell>
        </row>
        <row r="157">
          <cell r="B157">
            <v>52100</v>
          </cell>
          <cell r="C157" t="str">
            <v>Fornecimento e transporte de cimento asfáltico penetração CAP-20</v>
          </cell>
          <cell r="D157" t="str">
            <v>t</v>
          </cell>
        </row>
        <row r="158">
          <cell r="B158">
            <v>52200</v>
          </cell>
          <cell r="C158" t="str">
            <v>Fornecimento e transporte de asfalto CM-30</v>
          </cell>
          <cell r="D158" t="str">
            <v>t</v>
          </cell>
        </row>
        <row r="159">
          <cell r="B159">
            <v>52300</v>
          </cell>
          <cell r="C159" t="str">
            <v>Fornecimento e transporte de emulsão asfáltica RR-2C</v>
          </cell>
          <cell r="D159" t="str">
            <v>t</v>
          </cell>
        </row>
        <row r="160">
          <cell r="B160">
            <v>90219</v>
          </cell>
          <cell r="C160" t="str">
            <v>Remoção de pavimento</v>
          </cell>
          <cell r="D160" t="str">
            <v>m³</v>
          </cell>
        </row>
        <row r="161">
          <cell r="B161">
            <v>90543</v>
          </cell>
          <cell r="C161" t="str">
            <v>Transporte de C.B.U.Q. / Binder</v>
          </cell>
          <cell r="D161" t="str">
            <v>txkm</v>
          </cell>
        </row>
        <row r="163">
          <cell r="B163">
            <v>55000</v>
          </cell>
          <cell r="C163" t="str">
            <v>DRENAGEM</v>
          </cell>
        </row>
        <row r="164">
          <cell r="B164">
            <v>55330</v>
          </cell>
          <cell r="C164" t="str">
            <v>Valeta de proteção com revestimento em concreto para corte</v>
          </cell>
          <cell r="D164" t="str">
            <v>m</v>
          </cell>
        </row>
        <row r="165">
          <cell r="B165">
            <v>55750</v>
          </cell>
          <cell r="C165" t="str">
            <v>Colchão drenante</v>
          </cell>
          <cell r="D165" t="str">
            <v>m³</v>
          </cell>
        </row>
        <row r="167">
          <cell r="B167">
            <v>80000</v>
          </cell>
          <cell r="C167" t="str">
            <v>OBRAS COMPLEMENTARES</v>
          </cell>
        </row>
        <row r="168">
          <cell r="B168">
            <v>80415</v>
          </cell>
          <cell r="C168" t="str">
            <v>Pintura de faixas horiz. p/ 2 anos de duração (contínua amarela)</v>
          </cell>
          <cell r="D168" t="str">
            <v>m²</v>
          </cell>
        </row>
        <row r="169">
          <cell r="B169">
            <v>80415</v>
          </cell>
          <cell r="C169" t="str">
            <v>Pintura de faixas horiz. p/ 2 anos de duração (tracejada amarela)</v>
          </cell>
          <cell r="D169" t="str">
            <v>m²</v>
          </cell>
        </row>
        <row r="170">
          <cell r="B170">
            <v>80415</v>
          </cell>
          <cell r="C170" t="str">
            <v>Pintura de faixas horiz. p/ 2 anos de duração (contínua branca)</v>
          </cell>
          <cell r="D170" t="str">
            <v>m²</v>
          </cell>
        </row>
        <row r="171">
          <cell r="B171">
            <v>80415</v>
          </cell>
          <cell r="C171" t="str">
            <v>Pintura de faixas horiz. p/ 2 anos de duração (tracejada branca)</v>
          </cell>
          <cell r="D171" t="str">
            <v>m²</v>
          </cell>
        </row>
        <row r="172">
          <cell r="B172">
            <v>80302</v>
          </cell>
          <cell r="C172" t="str">
            <v>Placa de regulamentação circular ø = 1,00 m</v>
          </cell>
          <cell r="D172" t="str">
            <v>ud</v>
          </cell>
        </row>
        <row r="173">
          <cell r="B173">
            <v>80305</v>
          </cell>
          <cell r="C173" t="str">
            <v>Placa de regulamentação de parada obrigatória (octagonal)</v>
          </cell>
          <cell r="D173" t="str">
            <v>ud</v>
          </cell>
        </row>
        <row r="174">
          <cell r="B174">
            <v>80307</v>
          </cell>
          <cell r="C174" t="str">
            <v>Placa de advertência (1,00 x 1,00 m)</v>
          </cell>
          <cell r="D174" t="str">
            <v>ud</v>
          </cell>
        </row>
        <row r="175">
          <cell r="B175">
            <v>80310</v>
          </cell>
          <cell r="C175" t="str">
            <v>Placa de identificação de rodovia</v>
          </cell>
          <cell r="D175" t="str">
            <v>ud</v>
          </cell>
        </row>
        <row r="176">
          <cell r="B176">
            <v>80320</v>
          </cell>
          <cell r="C176" t="str">
            <v>Marco quilométrico</v>
          </cell>
          <cell r="D176" t="str">
            <v>ud</v>
          </cell>
        </row>
        <row r="177">
          <cell r="B177">
            <v>80332</v>
          </cell>
          <cell r="C177" t="str">
            <v>Placa de indicação (2,00 x 1,00 m)</v>
          </cell>
          <cell r="D177" t="str">
            <v>ud</v>
          </cell>
        </row>
        <row r="178">
          <cell r="C178" t="str">
            <v>Tangará da Serra/MT, 3 de setembro de 2001.</v>
          </cell>
        </row>
        <row r="179">
          <cell r="C179" t="str">
            <v>COMISSÃO DE FISCALIZAÇÃO</v>
          </cell>
        </row>
      </sheetData>
      <sheetData sheetId="2" refreshError="1">
        <row r="36">
          <cell r="C36" t="str">
            <v>Escavação, carga e transp. de mat. de 3ª cat. 600 &lt; DMT &lt; 800 m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ORÇA "/>
      <sheetName val="QUANT"/>
      <sheetName val="TRANSP"/>
      <sheetName val="MEM CALC DREN"/>
      <sheetName val="ADM LOCAL"/>
      <sheetName val="BLD"/>
      <sheetName val="TERRAP E PAVIM"/>
      <sheetName val="BDI"/>
      <sheetName val="REF CASC. LOCAL"/>
      <sheetName val="REF, SUB, BASE"/>
      <sheetName val="DRENO"/>
      <sheetName val="O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IÇÃODEMASSA"/>
      <sheetName val="RESUMODISTRIBUIÇÃO"/>
      <sheetName val="1a corte NÃO"/>
      <sheetName val="2a NÃO"/>
      <sheetName val="3a NÃO"/>
      <sheetName val="sm NÃO"/>
    </sheetNames>
    <sheetDataSet>
      <sheetData sheetId="0"/>
      <sheetData sheetId="1">
        <row r="25">
          <cell r="F25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ÇO PROJETO"/>
      <sheetName val="RESUMO - MEDIÇÃO"/>
      <sheetName val="DRENAGEM"/>
      <sheetName val="Ofício"/>
      <sheetName val="Cabeçalho"/>
      <sheetName val="Desmatamento "/>
      <sheetName val="DMT"/>
      <sheetName val="Corte"/>
      <sheetName val="Aterro"/>
      <sheetName val="Regula"/>
      <sheetName val="Forro de cascalho"/>
      <sheetName val="Sub-base"/>
      <sheetName val="Base"/>
      <sheetName val="Imprimação"/>
      <sheetName val="TSD"/>
      <sheetName val="TSS"/>
      <sheetName val="AGREGADOS"/>
      <sheetName val="EMPRÉSTIMO"/>
      <sheetName val="RECUPERAÇÃO-JAZIDA"/>
      <sheetName val="Nº DE ARBU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SUMO - MEDIÇÃO"/>
      <sheetName val="_DMT_"/>
      <sheetName val="DRENAGEM"/>
      <sheetName val="Cabeçalho"/>
      <sheetName val="Desmatamento "/>
      <sheetName val="DMT"/>
      <sheetName val="Corte"/>
      <sheetName val="Aterro"/>
      <sheetName val="Regula"/>
      <sheetName val="Forro de cascalho"/>
      <sheetName val="Sub-base"/>
      <sheetName val="Base"/>
      <sheetName val="Imprimação"/>
      <sheetName val="TSD"/>
      <sheetName val="TSS"/>
      <sheetName val="AGREGADOS"/>
      <sheetName val="REAJUSTAMENTO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1">
          <cell r="B11" t="str">
            <v>Convênio:</v>
          </cell>
        </row>
        <row r="23">
          <cell r="C23" t="str">
            <v>Diamantino-MT, 11 de setembro de 2005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 Dren."/>
      <sheetName val="Transporte "/>
      <sheetName val="Plan1"/>
      <sheetName val="Plan2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Transporte"/>
      <sheetName val="DRENAGEM"/>
      <sheetName val="Mob Desm-Inst. Cant."/>
      <sheetName val="Anexo"/>
      <sheetName val="resumo"/>
      <sheetName val="quantitativos"/>
    </sheetNames>
    <sheetDataSet>
      <sheetData sheetId="0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QUANTITATIVO"/>
      <sheetName val="Orçamento"/>
      <sheetName val="Transporte"/>
      <sheetName val="DRENAGEM"/>
      <sheetName val="INST MOB"/>
      <sheetName val="DESMAT. DEST. LIMP. AREA"/>
      <sheetName val="REGULARIZAÇÃO DO SUBLEITO"/>
      <sheetName val="BASE"/>
      <sheetName val="SUB-BASE"/>
      <sheetName val="IMPRIMAÇÃO  E CM-30"/>
      <sheetName val="TSS E RR-2C"/>
      <sheetName val="TSD E RR-2C"/>
    </sheetNames>
    <sheetDataSet>
      <sheetData sheetId="0" refreshError="1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TSS E RR-2C_23"/>
      <sheetName val="TSD E RR-2C_24"/>
      <sheetName val="IMPRIMAÇÃO  E CM-30_25"/>
      <sheetName val="SUB-BASE_26"/>
      <sheetName val="BASE_27"/>
      <sheetName val="REG, DO SUBLEITO_28"/>
      <sheetName val="DESMAT. DEST. LIMP. AREA_29"/>
      <sheetName val="Administração - Pessoal_30"/>
      <sheetName val="RESUMO TERRAP_31"/>
      <sheetName val="Orçamento 9_10_11"/>
      <sheetName val="Transporte 12-13"/>
      <sheetName val="DRENAGEM 14_19"/>
      <sheetName val="Plan2"/>
      <sheetName val="INST. MOB. 20_22"/>
      <sheetName val="QD QUANTIDADE CAD"/>
      <sheetName val="DESMAT. DEST. LIMP. AREA_29 (2)"/>
      <sheetName val="LDI"/>
    </sheetNames>
    <sheetDataSet>
      <sheetData sheetId="0">
        <row r="3">
          <cell r="B3" t="str">
            <v>Atividades Auxiliares ou Básica</v>
          </cell>
          <cell r="F3" t="str">
            <v>Und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F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F5">
            <v>0.35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F6">
            <v>0.42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F7">
            <v>0.41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F8">
            <v>0.49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F9">
            <v>0.45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F10">
            <v>0.57999999999999996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F11">
            <v>0.54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F12">
            <v>0.61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F13">
            <v>0.27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F14">
            <v>0.32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F15">
            <v>0.66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F16">
            <v>0.27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F17">
            <v>0.32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F18">
            <v>0.31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F19">
            <v>0.37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F20">
            <v>0.34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F21">
            <v>0.45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F22">
            <v>0.4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F23">
            <v>0.55000000000000004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F24">
            <v>0.18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F25">
            <v>0.73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F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F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F28">
            <v>0.5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F29">
            <v>0.37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F30">
            <v>2.12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F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F32">
            <v>2.2599999999999998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F33">
            <v>20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F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F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F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F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F38">
            <v>0.23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F39">
            <v>0.48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F40">
            <v>1.22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F41">
            <v>2.62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F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F43">
            <v>5.13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F44">
            <v>2.83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F45">
            <v>17.23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F46">
            <v>19.3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F47">
            <v>13.77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F48">
            <v>4.51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F49">
            <v>3.72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F50">
            <v>10.49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F51">
            <v>16.3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F52">
            <v>21.32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F53">
            <v>24.22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F54">
            <v>21.02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F55">
            <v>20.61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F56">
            <v>23.73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F57">
            <v>28.11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F58">
            <v>15.54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F59">
            <v>74.66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F60">
            <v>40.020000000000003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F61">
            <v>27.83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F62">
            <v>17.48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F63">
            <v>23.01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F64">
            <v>18.27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F65">
            <v>20.22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F66">
            <v>12.33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F67">
            <v>134.68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F68">
            <v>160.74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F69">
            <v>169.68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F70">
            <v>179.02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F71">
            <v>189.13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F72">
            <v>198.85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F73">
            <v>216.35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F74">
            <v>192.05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F75">
            <v>195.59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F76">
            <v>22.81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F77">
            <v>135.63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F78">
            <v>142.71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F79">
            <v>3.8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F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F81">
            <v>3.65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F82">
            <v>217.24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F83">
            <v>178.49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F84">
            <v>149.31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F85">
            <v>92.93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F86">
            <v>78.349999999999994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F87">
            <v>80.790000000000006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F88">
            <v>198.02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F89">
            <v>204.65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F90">
            <v>287.92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F91">
            <v>193.95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F92">
            <v>135.57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F93">
            <v>24.2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F94">
            <v>7.61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F95">
            <v>222.81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F96">
            <v>23.5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F97">
            <v>14.8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F98">
            <v>16.170000000000002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F99">
            <v>10.56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F100">
            <v>9.2100000000000009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F101">
            <v>9.43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F102">
            <v>9.31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F103">
            <v>15.16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F104">
            <v>15.38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F105">
            <v>15.36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F106">
            <v>22.53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F107">
            <v>22.75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F108">
            <v>22.84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F109">
            <v>90.58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F110">
            <v>138.6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F111">
            <v>209.05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F112">
            <v>290.89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F113">
            <v>452.94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F114">
            <v>0.67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F115">
            <v>0.94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F116">
            <v>1.19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F117">
            <v>14.12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F118">
            <v>94.26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F119">
            <v>111.28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F120">
            <v>156.53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F121">
            <v>18.64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F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F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F124">
            <v>2.74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F125">
            <v>7.11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F126">
            <v>24.14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F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F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F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F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F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F132">
            <v>105.07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F133">
            <v>25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F134">
            <v>79.489999999999995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F135">
            <v>89.9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F136">
            <v>111.04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F137">
            <v>26.82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F138">
            <v>33.369999999999997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F139">
            <v>39.67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F140">
            <v>45.01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F141">
            <v>57.18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F142">
            <v>116.43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F143">
            <v>134.91999999999999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F144">
            <v>164.46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F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F146">
            <v>1.99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F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F149">
            <v>21.1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F150">
            <v>52.76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F151">
            <v>1.1200000000000001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F152">
            <v>3.48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F153">
            <v>4.2300000000000004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F154">
            <v>5.0199999999999996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F155">
            <v>5.72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F156">
            <v>6.59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F157">
            <v>7.51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F158">
            <v>8.36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F159">
            <v>3.63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F160">
            <v>3.91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F161">
            <v>4.1100000000000003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F162">
            <v>4.47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F163">
            <v>4.68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F164">
            <v>4.97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F165">
            <v>5.14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F166">
            <v>5.31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F167">
            <v>5.44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F168">
            <v>5.72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F169">
            <v>6.42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F170">
            <v>8.36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F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F172">
            <v>3.51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F173">
            <v>3.86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F174">
            <v>4.0599999999999996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F175">
            <v>4.3600000000000003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F176">
            <v>4.6500000000000004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F177">
            <v>4.88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F178">
            <v>5.05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F179">
            <v>5.33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F180">
            <v>5.41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F181">
            <v>5.63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F182">
            <v>6.35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F183">
            <v>8.32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F184">
            <v>2.38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F185">
            <v>6.04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F186">
            <v>6.06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F187">
            <v>7.35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F188">
            <v>8.65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F189">
            <v>9.9499999999999993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F190">
            <v>9.9600000000000009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F191">
            <v>11.26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F192">
            <v>5.79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F193">
            <v>6.24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F194">
            <v>6.48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F195">
            <v>6.84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F196">
            <v>7.12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F197">
            <v>7.39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F198">
            <v>7.65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F199">
            <v>7.92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F200">
            <v>8.1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F201">
            <v>8.41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F202">
            <v>9.1999999999999993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F203">
            <v>11.58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F204">
            <v>4.92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F205">
            <v>5.27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F206">
            <v>5.61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F207">
            <v>5.98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F208">
            <v>6.26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F209">
            <v>6.53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F210">
            <v>6.86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F211">
            <v>7.08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F212">
            <v>7.19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F213">
            <v>7.51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F214">
            <v>8.44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F215">
            <v>10.84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F216">
            <v>17.61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F217">
            <v>20.02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F218">
            <v>20.54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F219">
            <v>21.27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F220">
            <v>21.79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F221">
            <v>22.31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F222">
            <v>22.54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F223">
            <v>10.49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F224">
            <v>11.3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F225">
            <v>11.64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F226">
            <v>12.04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F227">
            <v>12.8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F228">
            <v>1.56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F229">
            <v>1.81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F230">
            <v>5.1100000000000003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F231">
            <v>13.4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F232">
            <v>1.22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F233">
            <v>8.2899999999999991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F234">
            <v>0.48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F235">
            <v>0.75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F236">
            <v>8.2899999999999991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F237">
            <v>8.2899999999999991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F238">
            <v>8.93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F239">
            <v>10.02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F240">
            <v>10.02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F241">
            <v>27.11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F242">
            <v>42.92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F243">
            <v>43.93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F244">
            <v>37.630000000000003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F245">
            <v>109.32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F246">
            <v>62.57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F247">
            <v>0.14000000000000001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F248">
            <v>0.1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F249">
            <v>0.49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F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F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F252">
            <v>1.45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F253">
            <v>1.44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F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F255">
            <v>2.08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F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F257">
            <v>2.29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F258">
            <v>59.33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F259">
            <v>51.03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F260">
            <v>38.67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F261">
            <v>34.15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F262">
            <v>33.619999999999997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F263">
            <v>108.71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F264">
            <v>136.71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F265">
            <v>283.45999999999998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F266">
            <v>309.39999999999998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F267">
            <v>53.64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F268">
            <v>2.64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F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F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F271">
            <v>29.91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F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F273">
            <v>180.91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F274">
            <v>215.84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F275">
            <v>227.71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F276">
            <v>240.46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F277">
            <v>253.88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F278">
            <v>234.5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F279">
            <v>267.14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F280">
            <v>246.77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F281">
            <v>277.97000000000003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F282">
            <v>257.87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F283">
            <v>290.72000000000003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F284">
            <v>303.72000000000003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F285">
            <v>282.39999999999998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F286">
            <v>315.58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F287">
            <v>327.2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F288">
            <v>304.86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F289">
            <v>327.78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F290">
            <v>30.53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F291">
            <v>24.24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F292">
            <v>26.83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F293">
            <v>15.4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F294">
            <v>125.92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F295">
            <v>138.46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F296">
            <v>190.99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F297">
            <v>238.61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F298">
            <v>127.15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F299">
            <v>260.58999999999997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F300">
            <v>403.83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F301">
            <v>266.54000000000002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F302">
            <v>773.36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F303">
            <v>1002.96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F304">
            <v>1253.0999999999999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F305">
            <v>1513.82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F306">
            <v>1826.88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F307">
            <v>2174.0300000000002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F308">
            <v>2588.98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F309">
            <v>2381.86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F310">
            <v>2648.55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F311">
            <v>2937.19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F312">
            <v>3358.9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F313">
            <v>3944.44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F314">
            <v>3082.9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F315">
            <v>3441.26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F316">
            <v>3828.28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F317">
            <v>4394.09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F318">
            <v>5346.16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F319">
            <v>3921.04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F320">
            <v>4394.1899999999996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F321">
            <v>4905.6000000000004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F322">
            <v>5653.63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F323">
            <v>6911.34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F324">
            <v>4925.0200000000004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F325">
            <v>5532.88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F326">
            <v>6193.77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F327">
            <v>7163.5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F328">
            <v>8788.49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F329">
            <v>5872.03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F330">
            <v>6605.12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F331">
            <v>7430.86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F332">
            <v>8557.61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F333">
            <v>10507.63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F334">
            <v>7211.43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F335">
            <v>8127.56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F336">
            <v>9120.11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F337">
            <v>10568.89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F338">
            <v>12527.11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F339">
            <v>1352.9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F340">
            <v>1584.9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F341">
            <v>1835.63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F342">
            <v>2201.66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F343">
            <v>2819.05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F344">
            <v>296.33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F345">
            <v>316.25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F346">
            <v>337.81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F347">
            <v>368.94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F348">
            <v>420.85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F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F350">
            <v>183.82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F351">
            <v>573.25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F352">
            <v>71.989999999999995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F353">
            <v>9.44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F354">
            <v>16.04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F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F356">
            <v>10.93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F357">
            <v>10.61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F358">
            <v>9.56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F359">
            <v>8.6999999999999993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F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F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F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F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F364">
            <v>7.79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F365">
            <v>8.1999999999999993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F366">
            <v>302.45999999999998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F367">
            <v>443.97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F368">
            <v>441.99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F369">
            <v>827.42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F370">
            <v>341.41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F371">
            <v>478.11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F372">
            <v>529.21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F373">
            <v>955.7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F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F375">
            <v>26.21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F376">
            <v>3.64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F377">
            <v>6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F378">
            <v>77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F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F380">
            <v>32.909999999999997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F381">
            <v>4.37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F382">
            <v>7.2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F383">
            <v>169.21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F384">
            <v>52.49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F385">
            <v>216.56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F386">
            <v>315.29000000000002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F387">
            <v>450.19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F388">
            <v>605.29999999999995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F389">
            <v>898.56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F390">
            <v>467.01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F391">
            <v>778.51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F392">
            <v>1204.75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F393">
            <v>1743.56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F394">
            <v>3148.01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F395">
            <v>490.76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F396">
            <v>819.08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F397">
            <v>1263.28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F398">
            <v>1834.07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F399">
            <v>3317.23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F400">
            <v>547.66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F401">
            <v>911.4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F402">
            <v>1405.29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F403">
            <v>2045.56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F404">
            <v>3710.45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F405">
            <v>676.96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F406">
            <v>1226.7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F407">
            <v>1742.67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F408">
            <v>2538.5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F409">
            <v>4665.8900000000003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F410">
            <v>927.15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F411">
            <v>1186.5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F412">
            <v>1894.91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F413">
            <v>1687.18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F414">
            <v>2449.44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F415">
            <v>4303.68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F416">
            <v>1762.9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F417">
            <v>2564.41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F418">
            <v>4518.67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F419">
            <v>1960.49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F420">
            <v>2854.31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F421">
            <v>5049.58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F422">
            <v>2420.2399999999998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F423">
            <v>3523.01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F424">
            <v>6248.02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F425">
            <v>1307.51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F426">
            <v>1768.82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F427">
            <v>2637.95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F428">
            <v>2177.25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F429">
            <v>3162.21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F430">
            <v>5501.76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F431">
            <v>2268.85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F432">
            <v>3302.99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F433">
            <v>5751.61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F434">
            <v>2524.5500000000002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F435">
            <v>3674.13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F436">
            <v>6416.14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F437">
            <v>3102.83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F438">
            <v>4520.6400000000003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F439">
            <v>7937.31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F440">
            <v>943.77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F441">
            <v>1364.43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F442">
            <v>1942.01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F443">
            <v>2556.91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F444">
            <v>854.14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F445">
            <v>1220.78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F446">
            <v>1836.29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F447">
            <v>2496.2199999999998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F448">
            <v>932.05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F449">
            <v>1443.11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F450">
            <v>2118.4699999999998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F451">
            <v>3067.32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F452">
            <v>1063.42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F453">
            <v>1623.18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F454">
            <v>2370.19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F455">
            <v>3359.73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F456">
            <v>1223.9100000000001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F457">
            <v>1828.6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F458">
            <v>2612.86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F459">
            <v>3692.26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F460">
            <v>1274.94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F461">
            <v>1990.99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F462">
            <v>2874.2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F463">
            <v>4012.73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F464">
            <v>1339.2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F465">
            <v>2140.7800000000002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F466">
            <v>3247.57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F467">
            <v>4343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F468">
            <v>5412.49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F469">
            <v>8475.8799999999992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F470">
            <v>11448.96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F471">
            <v>16400.13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F472">
            <v>5507.51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F473">
            <v>8579.7000000000007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F474">
            <v>12065.22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F475">
            <v>17191.55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F476">
            <v>6004.52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F477">
            <v>9336.23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F478">
            <v>13432.34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F479">
            <v>18960.41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F480">
            <v>7470.4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F481">
            <v>11996.21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F482">
            <v>17013.89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F483">
            <v>23924.55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F484">
            <v>1647.9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F485">
            <v>2391.0500000000002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F486">
            <v>3013.05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F487">
            <v>4144.82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F488">
            <v>1450.24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F489">
            <v>2123.17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F490">
            <v>2864.59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F491">
            <v>3930.89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F492">
            <v>1546.34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F493">
            <v>2407.67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F494">
            <v>3344.94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F495">
            <v>4362.68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F496">
            <v>1760.86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F497">
            <v>2780.87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F498">
            <v>3808.73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F499">
            <v>5214.3500000000004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F500">
            <v>1941.68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F501">
            <v>3195.72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F502">
            <v>4089.68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F503">
            <v>5832.59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F504">
            <v>2186.4499999999998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F505">
            <v>3493.64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F506">
            <v>4625.7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F507">
            <v>6528.06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F508">
            <v>2329.8000000000002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F509">
            <v>3582.84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F510">
            <v>5058.41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F511">
            <v>6511.08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F512">
            <v>6291.38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F513">
            <v>9830.24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F514">
            <v>13824.95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F515">
            <v>20105.54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F516">
            <v>6905.86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F517">
            <v>10814.78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F518">
            <v>14896.79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F519">
            <v>21578.83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F520">
            <v>7125.6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F521">
            <v>11637.63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F522">
            <v>15837.81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F523">
            <v>24495.89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F524">
            <v>9276.3700000000008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F525">
            <v>14818.75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F526">
            <v>21354.27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F527">
            <v>31015.02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F528">
            <v>2285.0500000000002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F529">
            <v>3317.75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F530">
            <v>4495.51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F531">
            <v>5790.65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F532">
            <v>2064.02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F533">
            <v>3001.34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F534">
            <v>3986.11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F535">
            <v>5483.12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F536">
            <v>2241.81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F537">
            <v>3436.82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F538">
            <v>4677.1400000000003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F539">
            <v>6400.28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F540">
            <v>2418.8000000000002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F541">
            <v>3859.22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F542">
            <v>5308.57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F543">
            <v>7191.27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F544">
            <v>2696.62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F545">
            <v>4355.76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F546">
            <v>6040.14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F547">
            <v>8083.17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F548">
            <v>3190.53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F549">
            <v>4747.88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F550">
            <v>6343.05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F551">
            <v>8637.1299999999992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F552">
            <v>3243.5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F553">
            <v>5075.12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F554">
            <v>6803.35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F555">
            <v>9379.32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F556">
            <v>7797.68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F557">
            <v>11925.54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F558">
            <v>16899.830000000002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F559">
            <v>23995.86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F560">
            <v>8445.08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F561">
            <v>12824.04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F562">
            <v>18228.060000000001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F563">
            <v>23361.34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F564">
            <v>8856.08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F565">
            <v>14169.67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F566">
            <v>20764.759999999998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F567">
            <v>29949.200000000001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F568">
            <v>11176.09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F569">
            <v>17941.25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F570">
            <v>26268.53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F571">
            <v>37956.39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F572">
            <v>1028.1099999999999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F573">
            <v>1279.3399999999999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F574">
            <v>1076.94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F575">
            <v>1339.98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F576">
            <v>1958.05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F577">
            <v>2435.4499999999998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F578">
            <v>2031.03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F579">
            <v>2442.35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F580">
            <v>41.27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F581">
            <v>30.75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F582">
            <v>59.73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F583">
            <v>46.54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F584">
            <v>42.65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F585">
            <v>32.01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F586">
            <v>59.97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F587">
            <v>45.4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F588">
            <v>24.52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F589">
            <v>17.53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F590">
            <v>27.55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F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F592">
            <v>38.75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F593">
            <v>38.26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F594">
            <v>44.31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F595">
            <v>50.88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F596">
            <v>61.18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F597">
            <v>67.75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F598">
            <v>23.89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F599">
            <v>38.26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F600">
            <v>21.89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F601">
            <v>7.29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F602">
            <v>21.55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F603">
            <v>71.16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F604">
            <v>82.9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F605">
            <v>7.42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F606">
            <v>20.12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F607">
            <v>5.0599999999999996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F608">
            <v>26.52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F609">
            <v>32.799999999999997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F610">
            <v>127.19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F611">
            <v>8.4700000000000006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F612">
            <v>37.07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F613">
            <v>25.03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F614">
            <v>21.69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F615">
            <v>17.600000000000001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F616">
            <v>30.24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F617">
            <v>20.420000000000002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F618">
            <v>17.61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F619">
            <v>14.71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F620">
            <v>21.45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F621">
            <v>29.69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F622">
            <v>13.88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F623">
            <v>11.5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F624">
            <v>9.89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F625">
            <v>7.59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F626">
            <v>7.66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F627">
            <v>6.4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F628">
            <v>5.44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F629">
            <v>3.99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F630">
            <v>29.78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F631">
            <v>18.239999999999998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F632">
            <v>23.88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F633">
            <v>43.71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F634">
            <v>12.46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F635">
            <v>8.0299999999999994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F636">
            <v>7.55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F637">
            <v>4.66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F638">
            <v>38.630000000000003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F639">
            <v>30.75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F640">
            <v>18.04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F641">
            <v>12.69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F642">
            <v>17.72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F643">
            <v>11.07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F644">
            <v>17.420000000000002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F645">
            <v>29.27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F646">
            <v>909.9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F647">
            <v>886.15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F648">
            <v>862.39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F649">
            <v>837.56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F650">
            <v>1143.0899999999999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F651">
            <v>1118.26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F652">
            <v>1093.43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F653">
            <v>1069.67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F654">
            <v>1375.21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F655">
            <v>1350.38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F656">
            <v>1325.54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F657">
            <v>1300.71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F658">
            <v>1601.92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F659">
            <v>1577.09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F660">
            <v>1552.25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F661">
            <v>1527.42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F662">
            <v>1834.04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F663">
            <v>1809.2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F664">
            <v>1784.37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F665">
            <v>1759.53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F666">
            <v>926.31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F667">
            <v>901.48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F668">
            <v>879.02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F669">
            <v>851.81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F670">
            <v>1157.3499999999999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F671">
            <v>1133.5899999999999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F672">
            <v>1111.1400000000001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F673">
            <v>1182.18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F674">
            <v>1389.46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F675">
            <v>1365.71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F676">
            <v>1343.25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F677">
            <v>1316.04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F678">
            <v>1616.17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F679">
            <v>1591.34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F680">
            <v>1569.96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F681">
            <v>1542.75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F682">
            <v>1848.29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F683">
            <v>1823.45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F684">
            <v>1802.08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F685">
            <v>1774.87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F686">
            <v>98.8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F687">
            <v>50.34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F688">
            <v>73.92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F689">
            <v>131.97999999999999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F690">
            <v>67.7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F691">
            <v>97.2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F692">
            <v>177.28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F693">
            <v>226.16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F694">
            <v>214.38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F695">
            <v>301.01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F696">
            <v>252.6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F697">
            <v>349.95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F698">
            <v>288.38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F699">
            <v>398.76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F700">
            <v>379.25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F701">
            <v>521.38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F702">
            <v>356.33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F703">
            <v>489.91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F704">
            <v>407.72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F705">
            <v>559.28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F706">
            <v>521.67999999999995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F707">
            <v>710.29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F708">
            <v>68.489999999999995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F709">
            <v>98.09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F710">
            <v>107.74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F711">
            <v>154.69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F712">
            <v>28.55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F713">
            <v>34.96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F714">
            <v>124.94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F715">
            <v>148.59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F716">
            <v>177.12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F717">
            <v>216.44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F718">
            <v>152.07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F719">
            <v>498.54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F720">
            <v>798.34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F721">
            <v>1172.0999999999999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F722">
            <v>1590.25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F723">
            <v>2611.79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F724">
            <v>1660.19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F725">
            <v>2257.5500000000002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F726">
            <v>3589.18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F727">
            <v>2149.31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F728">
            <v>2924.69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F729">
            <v>4566.1099999999997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F730">
            <v>169.25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F731">
            <v>313.18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F732">
            <v>389.8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F733">
            <v>466.53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F734">
            <v>529.41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F735">
            <v>616.46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F736">
            <v>693.08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F737">
            <v>769.81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F738">
            <v>603.79999999999995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F739">
            <v>729.55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F740">
            <v>858.72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F741">
            <v>984.47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F742">
            <v>1110.22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F743">
            <v>1239.4000000000001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F744">
            <v>1365.15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F745">
            <v>610.66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F746">
            <v>591.71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F747">
            <v>833.32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F748">
            <v>1060.18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F749">
            <v>1247.31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F750">
            <v>1554.04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F751">
            <v>726.46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F752">
            <v>704.35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F753">
            <v>971.12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F754">
            <v>1206.74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F755">
            <v>1405.78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F756">
            <v>1709.41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F757">
            <v>845.41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F758">
            <v>826.46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F759">
            <v>1118.3900000000001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F760">
            <v>1369.08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F761">
            <v>1576.88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F762">
            <v>1899.96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F763">
            <v>817.12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F764">
            <v>792.86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F765">
            <v>944.03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F766">
            <v>1133.06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F767">
            <v>1324.59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F768">
            <v>1625.81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F769">
            <v>940.74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F770">
            <v>921.79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F771">
            <v>1086.21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F772">
            <v>1258.0999999999999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F773">
            <v>1483.06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F774">
            <v>1800.58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F775">
            <v>1117.4100000000001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F776">
            <v>1060.2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F777">
            <v>1241.01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F778">
            <v>1445.11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F779">
            <v>1654.16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F780">
            <v>1987.98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F781">
            <v>562.11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F782">
            <v>645.38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F783">
            <v>724.79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F784">
            <v>808.65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F785">
            <v>888.46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F786">
            <v>971.33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F787">
            <v>1051.33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F788">
            <v>68.849999999999994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F789">
            <v>160.61000000000001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F790">
            <v>226.37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F791">
            <v>326.72000000000003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F792">
            <v>441.13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F793">
            <v>661.36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F794">
            <v>101.81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F795">
            <v>123.46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F796">
            <v>181.44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F797">
            <v>157.61000000000001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F798">
            <v>141.74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F799">
            <v>133.72999999999999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F800">
            <v>91.29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F801">
            <v>194.39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F802">
            <v>30.27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F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F804">
            <v>32.03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F805">
            <v>125.07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F806">
            <v>35.590000000000003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F807">
            <v>44.28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F808">
            <v>52.64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F809">
            <v>59.73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F810">
            <v>75.87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F811">
            <v>105.47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F812">
            <v>119.28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F813">
            <v>147.33000000000001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F814">
            <v>154.47999999999999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F815">
            <v>179.01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F816">
            <v>218.2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F817">
            <v>3.92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F818">
            <v>0.86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F819">
            <v>56.22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F820">
            <v>32.03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F821">
            <v>139.43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F822">
            <v>33.17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F823">
            <v>138.34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F824">
            <v>196.56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F825">
            <v>220.52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F826">
            <v>244.38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F827">
            <v>231.72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F828">
            <v>260.49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F829">
            <v>287.66000000000003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F830">
            <v>421.92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F831">
            <v>562.24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F832">
            <v>535.33000000000004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F833">
            <v>254.14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F834">
            <v>63.72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F835">
            <v>882.36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F836">
            <v>86.05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F837">
            <v>40044.01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F838">
            <v>15.13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F839">
            <v>11.7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F840">
            <v>7.83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F841">
            <v>0.47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F842">
            <v>0.53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F843">
            <v>0.36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F844">
            <v>0.36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F845">
            <v>0.4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F846">
            <v>0.24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F848">
            <v>6.81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F849">
            <v>10.57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F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F851">
            <v>7.84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F852">
            <v>12.57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F853">
            <v>19.899999999999999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F854">
            <v>45.27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F855">
            <v>39.04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F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F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F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F859">
            <v>0.21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F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F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F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F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F864">
            <v>1.7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F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F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F867">
            <v>2.4700000000000002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F868">
            <v>2.64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F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F870">
            <v>1.07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F871">
            <v>29.78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F872">
            <v>19.96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F873">
            <v>23.8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F874">
            <v>65.11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F875">
            <v>16.22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F876">
            <v>43.5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F877">
            <v>42.13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F878">
            <v>26.99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F879">
            <v>84.21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F880">
            <v>18.84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F881">
            <v>243.59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F882">
            <v>6.65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F883">
            <v>110.91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F884">
            <v>4.24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F885">
            <v>58.52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F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F887">
            <v>187.34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F888">
            <v>234.67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F889">
            <v>274.27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F890">
            <v>200.78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F891">
            <v>127.58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F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F893">
            <v>30.84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F894">
            <v>16.04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F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F896">
            <v>2.5299999999999998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F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F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F899">
            <v>4.37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F900">
            <v>5.46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F901">
            <v>52.49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F902">
            <v>1036.74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F903">
            <v>1285.8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F904">
            <v>1085.56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F905">
            <v>1346.44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F906">
            <v>1958.05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F907">
            <v>2435.4499999999998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F908">
            <v>2031.03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F909">
            <v>2442.35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F910">
            <v>40.96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F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F912">
            <v>73.02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F913">
            <v>48.23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F914">
            <v>3.47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F915">
            <v>3.7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F916">
            <v>120.63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F917">
            <v>110.38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F918">
            <v>129.85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F919">
            <v>94.79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F920">
            <v>1.54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F921">
            <v>1.23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F922">
            <v>0.96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F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F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F925">
            <v>69.45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F926">
            <v>152.65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F927">
            <v>7.66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F928">
            <v>67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F929">
            <v>30.01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F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F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F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F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F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F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F936">
            <v>138.94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F937">
            <v>210.07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F938">
            <v>309.63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F939">
            <v>446.58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F940">
            <v>3.06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F941">
            <v>12.73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F942">
            <v>15.52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F943">
            <v>127.92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F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F945">
            <v>19.87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F946">
            <v>14.72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F947">
            <v>12.62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F948">
            <v>2.71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F949">
            <v>12.13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F950">
            <v>10.34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F951">
            <v>6.84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F952">
            <v>5.64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F953">
            <v>2.0699999999999998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F954">
            <v>52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F955">
            <v>15.04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F956">
            <v>13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F957">
            <v>16.260000000000002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F958">
            <v>3.23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F959">
            <v>4.95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F960">
            <v>43.7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F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F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F963">
            <v>189.77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F964">
            <v>0.06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F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F966">
            <v>0.54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F967">
            <v>0.55000000000000004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F968">
            <v>0.78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F969">
            <v>0.36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F970">
            <v>0.43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F971">
            <v>0.64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F972">
            <v>0.41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F973">
            <v>0.6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F974">
            <v>0.24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F975">
            <v>1.03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F976">
            <v>1.07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F977">
            <v>0.84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F979">
            <v>182.92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F980">
            <v>291.39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F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F982">
            <v>30.84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F983">
            <v>183.82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F984">
            <v>201.4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F985">
            <v>228.84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F986">
            <v>249.65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F987">
            <v>127.24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F988">
            <v>139.97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F989">
            <v>217.45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F990">
            <v>237.78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F991">
            <v>201.42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F992">
            <v>6.87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F993">
            <v>10.66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F994">
            <v>9.9499999999999993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F995">
            <v>13.56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F996">
            <v>27.8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F997">
            <v>34.42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F998">
            <v>39.03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F999">
            <v>8.3000000000000007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F1000">
            <v>23.2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F1001">
            <v>8.9600000000000009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F1002">
            <v>24.53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F1003">
            <v>186.91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F1004">
            <v>246.95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F1005">
            <v>11.76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F1006">
            <v>18.73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F1007">
            <v>147.65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F1008">
            <v>207.69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F1009">
            <v>67.849999999999994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F1010">
            <v>125.99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F1011">
            <v>24.73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F1012">
            <v>17.399999999999999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F1013">
            <v>0.43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F1014">
            <v>0.6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F1015">
            <v>0.84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F1017">
            <v>0.24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F1018">
            <v>21.1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F1019">
            <v>52.76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F1020">
            <v>1.24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F1021">
            <v>4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F1022">
            <v>4.33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F1023">
            <v>4.59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F1024">
            <v>4.92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F1025">
            <v>5.18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F1026">
            <v>5.49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F1027">
            <v>5.69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F1028">
            <v>5.84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F1029">
            <v>6.09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F1030">
            <v>6.33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F1031">
            <v>7.19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F1032">
            <v>9.48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F1033">
            <v>3.89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F1034">
            <v>4.28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F1035">
            <v>4.5199999999999996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F1036">
            <v>4.82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F1037">
            <v>5.13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F1038">
            <v>5.39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F1039">
            <v>5.6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F1040">
            <v>5.87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F1041">
            <v>6.04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F1042">
            <v>6.25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F1043">
            <v>7.1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F1044">
            <v>9.44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F1045">
            <v>2.16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F1046">
            <v>6.39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F1047">
            <v>6.89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F1048">
            <v>7.17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F1049">
            <v>7.62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F1050">
            <v>7.93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F1051">
            <v>8.1300000000000008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F1052">
            <v>8.4499999999999993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F1053">
            <v>8.7100000000000009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F1054">
            <v>8.86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F1055">
            <v>9.25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F1056">
            <v>10.220000000000001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F1057">
            <v>12.81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F1058">
            <v>5.46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F1059">
            <v>5.83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F1060">
            <v>6.26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F1061">
            <v>6.63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F1062">
            <v>6.91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F1063">
            <v>7.24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F1064">
            <v>7.64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F1065">
            <v>7.85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F1066">
            <v>8.01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F1067">
            <v>8.36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F1068">
            <v>9.41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F1069">
            <v>12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F1070">
            <v>19.3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F1071">
            <v>21.71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F1072">
            <v>22.35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F1073">
            <v>23.12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F1074">
            <v>23.81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F1075">
            <v>24.25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F1076">
            <v>24.68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F1077">
            <v>1.7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F1078">
            <v>2.02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F1079">
            <v>1.3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F1080">
            <v>8.57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F1081">
            <v>0.53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F1082">
            <v>0.83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F1083">
            <v>8.57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F1084">
            <v>8.57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F1085">
            <v>0.53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F1086">
            <v>9.07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F1087">
            <v>10.43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F1088">
            <v>10.43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F1089">
            <v>27.52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F1090">
            <v>43.43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F1091">
            <v>44.54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F1092">
            <v>38.22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F1093">
            <v>52.12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F1094">
            <v>109.61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F1095">
            <v>64.09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F1096">
            <v>12.8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F1097">
            <v>0.17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F1098">
            <v>0.1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F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F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F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F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F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F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F1105">
            <v>2.14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F1106">
            <v>2.16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F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F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F1109">
            <v>2.39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F1110">
            <v>3.17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F1111">
            <v>3.73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F1112">
            <v>0.52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F1113">
            <v>0.93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F1114">
            <v>61.21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F1115">
            <v>51.61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F1116">
            <v>39.270000000000003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F1117">
            <v>34.75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F1118">
            <v>34.22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F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F1120">
            <v>29.87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F1121">
            <v>4.68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F1122">
            <v>312.11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F1123">
            <v>2.64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F1124">
            <v>6.16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F1125">
            <v>104.36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F1126">
            <v>3.95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F1127">
            <v>56.65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F1128">
            <v>3.89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F1129">
            <v>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F1130">
            <v>13.14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F1131">
            <v>71.58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F1132">
            <v>93.45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F1133">
            <v>129.79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F1134">
            <v>1028.1099999999999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F1135">
            <v>1279.3399999999999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F1136">
            <v>1076.94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F1137">
            <v>1339.98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F1138">
            <v>1958.05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F1139">
            <v>2435.4499999999998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F1140">
            <v>2031.03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F1141">
            <v>2442.35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F1142">
            <v>36.86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F1143">
            <v>246.17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F1144">
            <v>67.47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F1145">
            <v>306.33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F1146">
            <v>3.92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F1147">
            <v>0.86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F1148">
            <v>56.22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F1149">
            <v>32.03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F1150">
            <v>139.43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F1151">
            <v>138.34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F1152">
            <v>196.56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F1153">
            <v>220.52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F1154">
            <v>244.38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F1155">
            <v>231.72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F1156">
            <v>260.49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F1157">
            <v>287.66000000000003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F1158">
            <v>421.92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F1159">
            <v>562.24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F1160">
            <v>535.33000000000004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F1161">
            <v>254.14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F1162">
            <v>61.95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F1163">
            <v>882.36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F1164">
            <v>92.75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F1165">
            <v>15.13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F1166">
            <v>11.7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F1167">
            <v>18.739999999999998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F1168">
            <v>0.55000000000000004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F1169">
            <v>0.36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F1170">
            <v>0.41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F1171">
            <v>0.24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AL HORIZONTAL A4"/>
    </sheetNames>
    <sheetDataSet>
      <sheetData sheetId="0">
        <row r="43">
          <cell r="C43">
            <v>2136.3166499999998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A PROPOSTA"/>
      <sheetName val="QUADRO 03 - RESUMO"/>
      <sheetName val="QUADRO 04 - ORÇAMENTO"/>
      <sheetName val="QUADRO 05 - CRONOGRAMA"/>
      <sheetName val="QUADRO 06 - SAL. MÃO DE OBRA"/>
      <sheetName val="QUADRO - LDI"/>
    </sheetNames>
    <sheetDataSet>
      <sheetData sheetId="0"/>
      <sheetData sheetId="1">
        <row r="32">
          <cell r="D32">
            <v>8219684.8800000008</v>
          </cell>
        </row>
        <row r="40">
          <cell r="A40" t="str">
            <v>MUNICÍPIO: Várzea Grande-MT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rgb="FFFFFF00"/>
  </sheetPr>
  <dimension ref="A1:D439"/>
  <sheetViews>
    <sheetView zoomScale="80" zoomScaleNormal="80" workbookViewId="0">
      <selection activeCell="E1" sqref="E1"/>
    </sheetView>
  </sheetViews>
  <sheetFormatPr defaultRowHeight="12.75"/>
  <cols>
    <col min="1" max="1" width="5.85546875" style="1" customWidth="1"/>
    <col min="2" max="2" width="9.140625" style="1"/>
    <col min="3" max="3" width="44.28515625" style="1" customWidth="1"/>
    <col min="4" max="4" width="25.140625" style="4" customWidth="1"/>
    <col min="5" max="16384" width="9.140625" style="1"/>
  </cols>
  <sheetData>
    <row r="1" spans="1:4" ht="34.5" customHeight="1">
      <c r="A1" s="1096" t="s">
        <v>19</v>
      </c>
      <c r="B1" s="1096"/>
      <c r="C1" s="1096"/>
      <c r="D1" s="1096"/>
    </row>
    <row r="2" spans="1:4" ht="25.5">
      <c r="A2" s="15" t="s">
        <v>0</v>
      </c>
      <c r="B2" s="15" t="s">
        <v>1</v>
      </c>
      <c r="C2" s="15" t="s">
        <v>2</v>
      </c>
      <c r="D2" s="25" t="s">
        <v>17</v>
      </c>
    </row>
    <row r="3" spans="1:4">
      <c r="A3" s="60"/>
      <c r="B3" s="60"/>
      <c r="C3" s="60"/>
      <c r="D3" s="61"/>
    </row>
    <row r="4" spans="1:4">
      <c r="A4" s="19" t="s">
        <v>5</v>
      </c>
      <c r="B4" s="62"/>
      <c r="C4" s="64" t="s">
        <v>8</v>
      </c>
      <c r="D4" s="63" t="e">
        <f>#REF!</f>
        <v>#REF!</v>
      </c>
    </row>
    <row r="5" spans="1:4" ht="13.5" customHeight="1">
      <c r="A5" s="19"/>
      <c r="B5" s="19"/>
      <c r="C5" s="27"/>
      <c r="D5" s="63"/>
    </row>
    <row r="6" spans="1:4">
      <c r="A6" s="19" t="s">
        <v>7</v>
      </c>
      <c r="B6" s="16"/>
      <c r="C6" s="17" t="s">
        <v>21</v>
      </c>
      <c r="D6" s="63" t="e">
        <f>#REF!</f>
        <v>#REF!</v>
      </c>
    </row>
    <row r="7" spans="1:4">
      <c r="A7" s="19"/>
      <c r="B7" s="16"/>
      <c r="C7" s="17"/>
      <c r="D7" s="63"/>
    </row>
    <row r="8" spans="1:4">
      <c r="A8" s="19"/>
      <c r="B8" s="16"/>
      <c r="C8" s="17" t="s">
        <v>150</v>
      </c>
      <c r="D8" s="63" t="e">
        <f>#REF!</f>
        <v>#REF!</v>
      </c>
    </row>
    <row r="9" spans="1:4">
      <c r="A9" s="19"/>
      <c r="B9" s="19"/>
      <c r="C9" s="14"/>
      <c r="D9" s="63"/>
    </row>
    <row r="10" spans="1:4">
      <c r="A10" s="19" t="s">
        <v>11</v>
      </c>
      <c r="B10" s="16"/>
      <c r="C10" s="17" t="s">
        <v>15</v>
      </c>
      <c r="D10" s="63" t="e">
        <f>#REF!</f>
        <v>#REF!</v>
      </c>
    </row>
    <row r="11" spans="1:4">
      <c r="A11" s="19"/>
      <c r="B11" s="19"/>
      <c r="C11" s="14"/>
      <c r="D11" s="63"/>
    </row>
    <row r="12" spans="1:4">
      <c r="A12" s="19" t="s">
        <v>14</v>
      </c>
      <c r="B12" s="16"/>
      <c r="C12" s="17" t="s">
        <v>163</v>
      </c>
      <c r="D12" s="63" t="e">
        <f>#REF!</f>
        <v>#REF!</v>
      </c>
    </row>
    <row r="13" spans="1:4">
      <c r="A13" s="19"/>
      <c r="B13" s="19"/>
      <c r="C13" s="17"/>
      <c r="D13" s="63"/>
    </row>
    <row r="14" spans="1:4">
      <c r="A14" s="19" t="s">
        <v>28</v>
      </c>
      <c r="B14" s="16"/>
      <c r="C14" s="17" t="s">
        <v>97</v>
      </c>
      <c r="D14" s="63" t="e">
        <f>#REF!</f>
        <v>#REF!</v>
      </c>
    </row>
    <row r="15" spans="1:4">
      <c r="A15" s="19"/>
      <c r="B15" s="19"/>
      <c r="C15" s="20"/>
      <c r="D15" s="63"/>
    </row>
    <row r="16" spans="1:4" ht="14.25" customHeight="1">
      <c r="A16" s="19" t="s">
        <v>31</v>
      </c>
      <c r="B16" s="16"/>
      <c r="C16" s="17" t="s">
        <v>164</v>
      </c>
      <c r="D16" s="63" t="e">
        <f>#REF!</f>
        <v>#REF!</v>
      </c>
    </row>
    <row r="17" spans="1:4">
      <c r="A17" s="19"/>
      <c r="B17" s="16"/>
      <c r="C17" s="14"/>
      <c r="D17" s="63"/>
    </row>
    <row r="18" spans="1:4">
      <c r="A18" s="19" t="s">
        <v>38</v>
      </c>
      <c r="B18" s="16"/>
      <c r="C18" s="17" t="s">
        <v>62</v>
      </c>
      <c r="D18" s="63" t="e">
        <f>#REF!</f>
        <v>#REF!</v>
      </c>
    </row>
    <row r="19" spans="1:4">
      <c r="A19" s="19"/>
      <c r="B19" s="16"/>
      <c r="C19" s="14"/>
      <c r="D19" s="63"/>
    </row>
    <row r="20" spans="1:4">
      <c r="A20" s="5" t="s">
        <v>60</v>
      </c>
      <c r="B20" s="5"/>
      <c r="C20" s="17" t="s">
        <v>165</v>
      </c>
      <c r="D20" s="63" t="e">
        <f>#REF!</f>
        <v>#REF!</v>
      </c>
    </row>
    <row r="21" spans="1:4">
      <c r="A21" s="5"/>
      <c r="B21" s="5"/>
      <c r="C21" s="17"/>
      <c r="D21" s="21"/>
    </row>
    <row r="22" spans="1:4">
      <c r="A22" s="5"/>
      <c r="B22" s="5"/>
      <c r="C22" s="6"/>
      <c r="D22" s="10"/>
    </row>
    <row r="23" spans="1:4">
      <c r="A23" s="5"/>
      <c r="B23" s="5"/>
      <c r="C23" s="6"/>
      <c r="D23" s="10"/>
    </row>
    <row r="24" spans="1:4">
      <c r="A24" s="5"/>
      <c r="B24" s="5"/>
      <c r="C24" s="6"/>
      <c r="D24" s="10"/>
    </row>
    <row r="25" spans="1:4">
      <c r="A25" s="5"/>
      <c r="B25" s="5"/>
      <c r="C25" s="6"/>
      <c r="D25" s="10"/>
    </row>
    <row r="26" spans="1:4">
      <c r="A26" s="5"/>
      <c r="B26" s="5"/>
      <c r="C26" s="6"/>
      <c r="D26" s="10"/>
    </row>
    <row r="27" spans="1:4">
      <c r="A27" s="5"/>
      <c r="B27" s="5"/>
      <c r="C27" s="6"/>
      <c r="D27" s="10"/>
    </row>
    <row r="28" spans="1:4">
      <c r="A28" s="5"/>
      <c r="B28" s="5"/>
      <c r="C28" s="6"/>
      <c r="D28" s="10"/>
    </row>
    <row r="29" spans="1:4">
      <c r="A29" s="5"/>
      <c r="B29" s="5"/>
      <c r="C29" s="6"/>
      <c r="D29" s="10"/>
    </row>
    <row r="30" spans="1:4">
      <c r="A30" s="5"/>
      <c r="B30" s="5"/>
      <c r="C30" s="6"/>
      <c r="D30" s="10"/>
    </row>
    <row r="31" spans="1:4">
      <c r="A31" s="5"/>
      <c r="B31" s="5"/>
      <c r="C31" s="6"/>
      <c r="D31" s="10"/>
    </row>
    <row r="32" spans="1:4">
      <c r="A32" s="5"/>
      <c r="B32" s="5"/>
      <c r="C32" s="6"/>
      <c r="D32" s="10"/>
    </row>
    <row r="33" spans="1:4">
      <c r="A33" s="5"/>
      <c r="B33" s="5"/>
      <c r="C33" s="6"/>
      <c r="D33" s="10"/>
    </row>
    <row r="34" spans="1:4">
      <c r="A34" s="5"/>
      <c r="B34" s="5"/>
      <c r="C34" s="6"/>
      <c r="D34" s="10"/>
    </row>
    <row r="35" spans="1:4">
      <c r="A35" s="5"/>
      <c r="B35" s="5"/>
      <c r="C35" s="6"/>
      <c r="D35" s="10"/>
    </row>
    <row r="36" spans="1:4">
      <c r="A36" s="5"/>
      <c r="B36" s="5"/>
      <c r="C36" s="6"/>
      <c r="D36" s="10"/>
    </row>
    <row r="37" spans="1:4">
      <c r="A37" s="5"/>
      <c r="B37" s="5"/>
      <c r="C37" s="6"/>
      <c r="D37" s="10"/>
    </row>
    <row r="38" spans="1:4">
      <c r="A38" s="5"/>
      <c r="B38" s="5"/>
      <c r="C38" s="6"/>
      <c r="D38" s="10"/>
    </row>
    <row r="39" spans="1:4">
      <c r="A39" s="5"/>
      <c r="B39" s="5"/>
      <c r="C39" s="6"/>
      <c r="D39" s="10"/>
    </row>
    <row r="40" spans="1:4">
      <c r="A40" s="5"/>
      <c r="B40" s="5"/>
      <c r="C40" s="6"/>
      <c r="D40" s="10"/>
    </row>
    <row r="41" spans="1:4">
      <c r="A41" s="5"/>
      <c r="B41" s="5"/>
      <c r="C41" s="6"/>
      <c r="D41" s="10"/>
    </row>
    <row r="42" spans="1:4">
      <c r="A42" s="5"/>
      <c r="B42" s="5"/>
      <c r="C42" s="6"/>
      <c r="D42" s="10"/>
    </row>
    <row r="43" spans="1:4">
      <c r="A43" s="5"/>
      <c r="B43" s="5"/>
      <c r="C43" s="6"/>
      <c r="D43" s="10"/>
    </row>
    <row r="44" spans="1:4">
      <c r="A44" s="5"/>
      <c r="B44" s="5"/>
      <c r="C44" s="6"/>
      <c r="D44" s="10"/>
    </row>
    <row r="45" spans="1:4">
      <c r="A45" s="5"/>
      <c r="B45" s="5"/>
      <c r="C45" s="6"/>
      <c r="D45" s="10"/>
    </row>
    <row r="46" spans="1:4">
      <c r="A46" s="5"/>
      <c r="B46" s="5"/>
      <c r="C46" s="6"/>
      <c r="D46" s="10"/>
    </row>
    <row r="47" spans="1:4">
      <c r="A47" s="5"/>
      <c r="B47" s="5"/>
      <c r="C47" s="6"/>
      <c r="D47" s="10"/>
    </row>
    <row r="48" spans="1:4">
      <c r="A48" s="5"/>
      <c r="B48" s="5"/>
      <c r="C48" s="6"/>
      <c r="D48" s="10"/>
    </row>
    <row r="49" spans="1:4">
      <c r="A49" s="19"/>
      <c r="B49" s="19"/>
      <c r="C49" s="17"/>
      <c r="D49" s="18"/>
    </row>
    <row r="50" spans="1:4">
      <c r="A50" s="19"/>
      <c r="B50" s="19"/>
      <c r="C50" s="17"/>
      <c r="D50" s="18"/>
    </row>
    <row r="51" spans="1:4">
      <c r="A51" s="1097" t="s">
        <v>16</v>
      </c>
      <c r="B51" s="1098"/>
      <c r="C51" s="1099"/>
      <c r="D51" s="24"/>
    </row>
    <row r="52" spans="1:4" ht="10.5" customHeight="1">
      <c r="A52" s="1100"/>
      <c r="B52" s="1101"/>
      <c r="C52" s="1102"/>
      <c r="D52" s="22" t="e">
        <f>SUM(D3:D50)</f>
        <v>#REF!</v>
      </c>
    </row>
    <row r="53" spans="1:4" ht="10.5" customHeight="1">
      <c r="A53" s="1103"/>
      <c r="B53" s="1104"/>
      <c r="C53" s="1105"/>
      <c r="D53" s="23"/>
    </row>
    <row r="54" spans="1:4" ht="10.5" customHeight="1">
      <c r="A54" s="7"/>
      <c r="B54" s="7"/>
      <c r="C54" s="8"/>
      <c r="D54" s="9"/>
    </row>
    <row r="55" spans="1:4">
      <c r="A55" s="7"/>
      <c r="B55" s="7"/>
      <c r="C55" s="8"/>
      <c r="D55" s="9"/>
    </row>
    <row r="56" spans="1:4">
      <c r="C56" s="2"/>
    </row>
    <row r="57" spans="1:4">
      <c r="C57" s="2"/>
    </row>
    <row r="58" spans="1:4">
      <c r="C58" s="2"/>
      <c r="D58" s="231"/>
    </row>
    <row r="59" spans="1:4">
      <c r="C59" s="2"/>
    </row>
    <row r="60" spans="1:4">
      <c r="C60" s="2"/>
    </row>
    <row r="61" spans="1:4">
      <c r="C61" s="2"/>
    </row>
    <row r="62" spans="1:4">
      <c r="C62" s="2"/>
    </row>
    <row r="63" spans="1:4">
      <c r="C63" s="2"/>
    </row>
    <row r="64" spans="1:4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  <row r="74" spans="3:3">
      <c r="C74" s="2"/>
    </row>
    <row r="75" spans="3:3">
      <c r="C75" s="2"/>
    </row>
    <row r="76" spans="3:3">
      <c r="C76" s="2"/>
    </row>
    <row r="77" spans="3:3">
      <c r="C77" s="2"/>
    </row>
    <row r="78" spans="3:3">
      <c r="C78" s="2"/>
    </row>
    <row r="79" spans="3:3">
      <c r="C79" s="2"/>
    </row>
    <row r="80" spans="3:3">
      <c r="C80" s="2"/>
    </row>
    <row r="81" spans="3:3">
      <c r="C81" s="2"/>
    </row>
    <row r="82" spans="3:3">
      <c r="C82" s="2"/>
    </row>
    <row r="83" spans="3:3">
      <c r="C83" s="2"/>
    </row>
    <row r="84" spans="3:3">
      <c r="C84" s="2"/>
    </row>
    <row r="85" spans="3:3">
      <c r="C85" s="2"/>
    </row>
    <row r="86" spans="3:3">
      <c r="C86" s="2"/>
    </row>
    <row r="87" spans="3:3">
      <c r="C87" s="2"/>
    </row>
    <row r="88" spans="3:3">
      <c r="C88" s="2"/>
    </row>
    <row r="89" spans="3:3">
      <c r="C89" s="2"/>
    </row>
    <row r="90" spans="3:3">
      <c r="C90" s="2"/>
    </row>
    <row r="91" spans="3:3">
      <c r="C91" s="2"/>
    </row>
    <row r="92" spans="3:3">
      <c r="C92" s="2"/>
    </row>
    <row r="93" spans="3:3">
      <c r="C93" s="2"/>
    </row>
    <row r="94" spans="3:3">
      <c r="C94" s="2"/>
    </row>
    <row r="95" spans="3:3">
      <c r="C95" s="2"/>
    </row>
    <row r="96" spans="3:3">
      <c r="C96" s="2"/>
    </row>
    <row r="97" spans="3:3">
      <c r="C97" s="2"/>
    </row>
    <row r="98" spans="3:3">
      <c r="C98" s="2"/>
    </row>
    <row r="99" spans="3:3">
      <c r="C99" s="2"/>
    </row>
    <row r="100" spans="3:3">
      <c r="C100" s="2"/>
    </row>
    <row r="101" spans="3:3">
      <c r="C101" s="2"/>
    </row>
    <row r="102" spans="3:3">
      <c r="C102" s="2"/>
    </row>
    <row r="103" spans="3:3">
      <c r="C103" s="2"/>
    </row>
    <row r="104" spans="3:3">
      <c r="C104" s="2"/>
    </row>
    <row r="105" spans="3:3">
      <c r="C105" s="2"/>
    </row>
    <row r="106" spans="3:3">
      <c r="C106" s="2"/>
    </row>
    <row r="107" spans="3:3">
      <c r="C107" s="2"/>
    </row>
    <row r="108" spans="3:3">
      <c r="C108" s="2"/>
    </row>
    <row r="109" spans="3:3">
      <c r="C109" s="2"/>
    </row>
    <row r="110" spans="3:3">
      <c r="C110" s="2"/>
    </row>
    <row r="111" spans="3:3">
      <c r="C111" s="2"/>
    </row>
    <row r="112" spans="3:3">
      <c r="C112" s="2"/>
    </row>
    <row r="113" spans="3:3">
      <c r="C113" s="2"/>
    </row>
    <row r="114" spans="3:3">
      <c r="C114" s="2"/>
    </row>
    <row r="115" spans="3:3">
      <c r="C115" s="2"/>
    </row>
    <row r="116" spans="3:3">
      <c r="C116" s="2"/>
    </row>
    <row r="117" spans="3:3">
      <c r="C117" s="2"/>
    </row>
    <row r="118" spans="3:3">
      <c r="C118" s="2"/>
    </row>
    <row r="119" spans="3:3">
      <c r="C119" s="2"/>
    </row>
    <row r="120" spans="3:3">
      <c r="C120" s="2"/>
    </row>
    <row r="121" spans="3:3">
      <c r="C121" s="2"/>
    </row>
    <row r="122" spans="3:3">
      <c r="C122" s="2"/>
    </row>
    <row r="123" spans="3:3">
      <c r="C123" s="2"/>
    </row>
    <row r="124" spans="3:3">
      <c r="C124" s="2"/>
    </row>
    <row r="125" spans="3:3">
      <c r="C125" s="2"/>
    </row>
    <row r="126" spans="3:3">
      <c r="C126" s="2"/>
    </row>
    <row r="127" spans="3:3">
      <c r="C127" s="2"/>
    </row>
    <row r="128" spans="3:3">
      <c r="C128" s="2"/>
    </row>
    <row r="129" spans="3:3">
      <c r="C129" s="2"/>
    </row>
    <row r="130" spans="3:3">
      <c r="C130" s="2"/>
    </row>
    <row r="131" spans="3:3">
      <c r="C131" s="2"/>
    </row>
    <row r="132" spans="3:3">
      <c r="C132" s="2"/>
    </row>
    <row r="133" spans="3:3">
      <c r="C133" s="2"/>
    </row>
    <row r="134" spans="3:3">
      <c r="C134" s="2"/>
    </row>
    <row r="135" spans="3:3">
      <c r="C135" s="2"/>
    </row>
    <row r="136" spans="3:3">
      <c r="C136" s="2"/>
    </row>
    <row r="137" spans="3:3">
      <c r="C137" s="2"/>
    </row>
    <row r="138" spans="3:3">
      <c r="C138" s="2"/>
    </row>
    <row r="139" spans="3:3">
      <c r="C139" s="2"/>
    </row>
    <row r="140" spans="3:3">
      <c r="C140" s="2"/>
    </row>
    <row r="141" spans="3:3">
      <c r="C141" s="2"/>
    </row>
    <row r="142" spans="3:3">
      <c r="C142" s="2"/>
    </row>
    <row r="143" spans="3:3">
      <c r="C143" s="2"/>
    </row>
    <row r="144" spans="3:3">
      <c r="C144" s="2"/>
    </row>
    <row r="145" spans="3:3">
      <c r="C145" s="2"/>
    </row>
    <row r="146" spans="3:3">
      <c r="C146" s="2"/>
    </row>
    <row r="147" spans="3:3">
      <c r="C147" s="2"/>
    </row>
    <row r="148" spans="3:3">
      <c r="C148" s="2"/>
    </row>
    <row r="149" spans="3:3">
      <c r="C149" s="2"/>
    </row>
    <row r="150" spans="3:3">
      <c r="C150" s="2"/>
    </row>
    <row r="151" spans="3:3">
      <c r="C151" s="2"/>
    </row>
    <row r="152" spans="3:3">
      <c r="C152" s="2"/>
    </row>
    <row r="153" spans="3:3">
      <c r="C153" s="2"/>
    </row>
    <row r="154" spans="3:3">
      <c r="C154" s="2"/>
    </row>
    <row r="155" spans="3:3">
      <c r="C155" s="2"/>
    </row>
    <row r="156" spans="3:3">
      <c r="C156" s="2"/>
    </row>
    <row r="157" spans="3:3">
      <c r="C157" s="2"/>
    </row>
    <row r="158" spans="3:3">
      <c r="C158" s="2"/>
    </row>
    <row r="159" spans="3:3">
      <c r="C159" s="2"/>
    </row>
    <row r="160" spans="3:3">
      <c r="C160" s="2"/>
    </row>
    <row r="161" spans="3:3">
      <c r="C161" s="2"/>
    </row>
    <row r="162" spans="3:3">
      <c r="C162" s="2"/>
    </row>
    <row r="163" spans="3:3">
      <c r="C163" s="2"/>
    </row>
    <row r="164" spans="3:3">
      <c r="C164" s="2"/>
    </row>
    <row r="165" spans="3:3">
      <c r="C165" s="2"/>
    </row>
    <row r="166" spans="3:3">
      <c r="C166" s="2"/>
    </row>
    <row r="167" spans="3:3">
      <c r="C167" s="2"/>
    </row>
    <row r="168" spans="3:3">
      <c r="C168" s="2"/>
    </row>
    <row r="169" spans="3:3">
      <c r="C169" s="2"/>
    </row>
    <row r="170" spans="3:3">
      <c r="C170" s="2"/>
    </row>
    <row r="171" spans="3:3">
      <c r="C171" s="2"/>
    </row>
    <row r="172" spans="3:3">
      <c r="C172" s="2"/>
    </row>
    <row r="173" spans="3:3">
      <c r="C173" s="2"/>
    </row>
    <row r="174" spans="3:3">
      <c r="C174" s="2"/>
    </row>
    <row r="175" spans="3:3">
      <c r="C175" s="2"/>
    </row>
    <row r="176" spans="3:3">
      <c r="C176" s="2"/>
    </row>
    <row r="177" spans="3:3">
      <c r="C177" s="2"/>
    </row>
    <row r="178" spans="3:3">
      <c r="C178" s="2"/>
    </row>
    <row r="179" spans="3:3">
      <c r="C179" s="2"/>
    </row>
    <row r="180" spans="3:3">
      <c r="C180" s="2"/>
    </row>
    <row r="181" spans="3:3">
      <c r="C181" s="2"/>
    </row>
    <row r="182" spans="3:3">
      <c r="C182" s="2"/>
    </row>
    <row r="183" spans="3:3">
      <c r="C183" s="2"/>
    </row>
    <row r="184" spans="3:3">
      <c r="C184" s="2"/>
    </row>
    <row r="185" spans="3:3">
      <c r="C185" s="2"/>
    </row>
    <row r="186" spans="3:3">
      <c r="C186" s="2"/>
    </row>
    <row r="187" spans="3:3">
      <c r="C187" s="2"/>
    </row>
    <row r="188" spans="3:3">
      <c r="C188" s="2"/>
    </row>
    <row r="189" spans="3:3">
      <c r="C189" s="2"/>
    </row>
    <row r="190" spans="3:3">
      <c r="C190" s="2"/>
    </row>
    <row r="191" spans="3:3">
      <c r="C191" s="2"/>
    </row>
    <row r="192" spans="3:3">
      <c r="C192" s="2"/>
    </row>
    <row r="193" spans="3:3">
      <c r="C193" s="2"/>
    </row>
    <row r="194" spans="3:3">
      <c r="C194" s="2"/>
    </row>
    <row r="195" spans="3:3">
      <c r="C195" s="2"/>
    </row>
    <row r="196" spans="3:3">
      <c r="C196" s="2"/>
    </row>
    <row r="197" spans="3:3">
      <c r="C197" s="2"/>
    </row>
    <row r="198" spans="3:3">
      <c r="C198" s="2"/>
    </row>
    <row r="199" spans="3:3">
      <c r="C199" s="2"/>
    </row>
    <row r="200" spans="3:3">
      <c r="C200" s="2"/>
    </row>
    <row r="201" spans="3:3">
      <c r="C201" s="2"/>
    </row>
    <row r="202" spans="3:3">
      <c r="C202" s="2"/>
    </row>
    <row r="203" spans="3:3">
      <c r="C203" s="2"/>
    </row>
    <row r="204" spans="3:3">
      <c r="C204" s="2"/>
    </row>
    <row r="205" spans="3:3">
      <c r="C205" s="2"/>
    </row>
    <row r="206" spans="3:3">
      <c r="C206" s="2"/>
    </row>
    <row r="207" spans="3:3">
      <c r="C207" s="2"/>
    </row>
    <row r="208" spans="3:3">
      <c r="C208" s="2"/>
    </row>
    <row r="209" spans="3:3">
      <c r="C209" s="2"/>
    </row>
    <row r="210" spans="3:3">
      <c r="C210" s="2"/>
    </row>
    <row r="211" spans="3:3">
      <c r="C211" s="2"/>
    </row>
    <row r="212" spans="3:3">
      <c r="C212" s="2"/>
    </row>
    <row r="213" spans="3:3">
      <c r="C213" s="2"/>
    </row>
    <row r="214" spans="3:3">
      <c r="C214" s="2"/>
    </row>
    <row r="215" spans="3:3">
      <c r="C215" s="2"/>
    </row>
    <row r="216" spans="3:3">
      <c r="C216" s="2"/>
    </row>
    <row r="217" spans="3:3">
      <c r="C217" s="2"/>
    </row>
    <row r="218" spans="3:3">
      <c r="C218" s="2"/>
    </row>
    <row r="219" spans="3:3">
      <c r="C219" s="2"/>
    </row>
    <row r="220" spans="3:3">
      <c r="C220" s="2"/>
    </row>
    <row r="221" spans="3:3">
      <c r="C221" s="2"/>
    </row>
    <row r="222" spans="3:3">
      <c r="C222" s="2"/>
    </row>
    <row r="223" spans="3:3">
      <c r="C223" s="2"/>
    </row>
    <row r="224" spans="3:3">
      <c r="C224" s="2"/>
    </row>
    <row r="225" spans="3:3">
      <c r="C225" s="2"/>
    </row>
    <row r="226" spans="3:3">
      <c r="C226" s="2"/>
    </row>
    <row r="227" spans="3:3">
      <c r="C227" s="2"/>
    </row>
    <row r="228" spans="3:3">
      <c r="C228" s="2"/>
    </row>
    <row r="229" spans="3:3">
      <c r="C229" s="2"/>
    </row>
    <row r="230" spans="3:3">
      <c r="C230" s="2"/>
    </row>
    <row r="231" spans="3:3">
      <c r="C231" s="2"/>
    </row>
    <row r="232" spans="3:3">
      <c r="C232" s="2"/>
    </row>
    <row r="233" spans="3:3">
      <c r="C233" s="2"/>
    </row>
    <row r="234" spans="3:3">
      <c r="C234" s="2"/>
    </row>
    <row r="235" spans="3:3">
      <c r="C235" s="2"/>
    </row>
    <row r="236" spans="3:3">
      <c r="C236" s="2"/>
    </row>
    <row r="237" spans="3:3">
      <c r="C237" s="2"/>
    </row>
    <row r="238" spans="3:3">
      <c r="C238" s="2"/>
    </row>
    <row r="239" spans="3:3">
      <c r="C239" s="2"/>
    </row>
    <row r="240" spans="3:3">
      <c r="C240" s="2"/>
    </row>
    <row r="241" spans="3:3">
      <c r="C241" s="2"/>
    </row>
    <row r="242" spans="3:3">
      <c r="C242" s="2"/>
    </row>
    <row r="243" spans="3:3">
      <c r="C243" s="2"/>
    </row>
    <row r="244" spans="3:3">
      <c r="C244" s="2"/>
    </row>
    <row r="245" spans="3:3">
      <c r="C245" s="2"/>
    </row>
    <row r="246" spans="3:3">
      <c r="C246" s="2"/>
    </row>
    <row r="247" spans="3:3">
      <c r="C247" s="2"/>
    </row>
    <row r="248" spans="3:3">
      <c r="C248" s="2"/>
    </row>
    <row r="249" spans="3:3">
      <c r="C249" s="2"/>
    </row>
    <row r="250" spans="3:3">
      <c r="C250" s="2"/>
    </row>
    <row r="251" spans="3:3">
      <c r="C251" s="2"/>
    </row>
    <row r="252" spans="3:3">
      <c r="C252" s="2"/>
    </row>
    <row r="253" spans="3:3">
      <c r="C253" s="2"/>
    </row>
    <row r="254" spans="3:3">
      <c r="C254" s="2"/>
    </row>
    <row r="255" spans="3:3">
      <c r="C255" s="2"/>
    </row>
    <row r="256" spans="3:3">
      <c r="C256" s="2"/>
    </row>
    <row r="257" spans="3:3">
      <c r="C257" s="2"/>
    </row>
    <row r="258" spans="3:3">
      <c r="C258" s="2"/>
    </row>
    <row r="259" spans="3:3">
      <c r="C259" s="2"/>
    </row>
    <row r="260" spans="3:3">
      <c r="C260" s="2"/>
    </row>
    <row r="261" spans="3:3">
      <c r="C261" s="2"/>
    </row>
    <row r="262" spans="3:3">
      <c r="C262" s="2"/>
    </row>
    <row r="263" spans="3:3">
      <c r="C263" s="2"/>
    </row>
    <row r="264" spans="3:3">
      <c r="C264" s="2"/>
    </row>
    <row r="265" spans="3:3">
      <c r="C265" s="2"/>
    </row>
    <row r="266" spans="3:3">
      <c r="C266" s="2"/>
    </row>
    <row r="267" spans="3:3">
      <c r="C267" s="2"/>
    </row>
    <row r="268" spans="3:3">
      <c r="C268" s="2"/>
    </row>
    <row r="269" spans="3:3">
      <c r="C269" s="2"/>
    </row>
    <row r="270" spans="3:3">
      <c r="C270" s="2"/>
    </row>
    <row r="271" spans="3:3">
      <c r="C271" s="2"/>
    </row>
    <row r="272" spans="3:3">
      <c r="C272" s="2"/>
    </row>
    <row r="273" spans="3:3">
      <c r="C273" s="2"/>
    </row>
    <row r="274" spans="3:3">
      <c r="C274" s="2"/>
    </row>
    <row r="275" spans="3:3">
      <c r="C275" s="2"/>
    </row>
    <row r="276" spans="3:3">
      <c r="C276" s="2"/>
    </row>
    <row r="277" spans="3:3">
      <c r="C277" s="2"/>
    </row>
    <row r="278" spans="3:3">
      <c r="C278" s="2"/>
    </row>
    <row r="279" spans="3:3">
      <c r="C279" s="2"/>
    </row>
    <row r="280" spans="3:3">
      <c r="C280" s="2"/>
    </row>
    <row r="281" spans="3:3">
      <c r="C281" s="2"/>
    </row>
    <row r="282" spans="3:3">
      <c r="C282" s="2"/>
    </row>
    <row r="283" spans="3:3">
      <c r="C283" s="2"/>
    </row>
    <row r="284" spans="3:3">
      <c r="C284" s="2"/>
    </row>
    <row r="285" spans="3:3">
      <c r="C285" s="2"/>
    </row>
    <row r="286" spans="3:3">
      <c r="C286" s="2"/>
    </row>
    <row r="287" spans="3:3">
      <c r="C287" s="2"/>
    </row>
    <row r="288" spans="3:3">
      <c r="C288" s="2"/>
    </row>
    <row r="289" spans="3:3">
      <c r="C289" s="2"/>
    </row>
    <row r="290" spans="3:3">
      <c r="C290" s="2"/>
    </row>
    <row r="291" spans="3:3">
      <c r="C291" s="2"/>
    </row>
    <row r="292" spans="3:3">
      <c r="C292" s="2"/>
    </row>
    <row r="293" spans="3:3">
      <c r="C293" s="2"/>
    </row>
    <row r="294" spans="3:3">
      <c r="C294" s="2"/>
    </row>
    <row r="295" spans="3:3">
      <c r="C295" s="2"/>
    </row>
    <row r="296" spans="3:3">
      <c r="C296" s="2"/>
    </row>
    <row r="297" spans="3:3">
      <c r="C297" s="2"/>
    </row>
    <row r="298" spans="3:3">
      <c r="C298" s="2"/>
    </row>
    <row r="299" spans="3:3">
      <c r="C299" s="2"/>
    </row>
    <row r="300" spans="3:3">
      <c r="C300" s="2"/>
    </row>
    <row r="301" spans="3:3">
      <c r="C301" s="2"/>
    </row>
    <row r="302" spans="3:3">
      <c r="C302" s="2"/>
    </row>
    <row r="303" spans="3:3">
      <c r="C303" s="2"/>
    </row>
    <row r="304" spans="3:3">
      <c r="C304" s="2"/>
    </row>
    <row r="305" spans="3:3">
      <c r="C305" s="2"/>
    </row>
    <row r="306" spans="3:3">
      <c r="C306" s="2"/>
    </row>
    <row r="307" spans="3:3">
      <c r="C307" s="2"/>
    </row>
    <row r="308" spans="3:3">
      <c r="C308" s="2"/>
    </row>
    <row r="309" spans="3:3">
      <c r="C309" s="2"/>
    </row>
    <row r="310" spans="3:3">
      <c r="C310" s="2"/>
    </row>
    <row r="311" spans="3:3">
      <c r="C311" s="2"/>
    </row>
    <row r="312" spans="3:3">
      <c r="C312" s="2"/>
    </row>
    <row r="313" spans="3:3">
      <c r="C313" s="2"/>
    </row>
    <row r="314" spans="3:3">
      <c r="C314" s="2"/>
    </row>
    <row r="315" spans="3:3">
      <c r="C315" s="2"/>
    </row>
    <row r="316" spans="3:3">
      <c r="C316" s="2"/>
    </row>
    <row r="317" spans="3:3">
      <c r="C317" s="2"/>
    </row>
    <row r="318" spans="3:3">
      <c r="C318" s="2"/>
    </row>
    <row r="319" spans="3:3">
      <c r="C319" s="2"/>
    </row>
    <row r="320" spans="3:3">
      <c r="C320" s="2"/>
    </row>
    <row r="321" spans="3:3">
      <c r="C321" s="2"/>
    </row>
    <row r="322" spans="3:3">
      <c r="C322" s="2"/>
    </row>
    <row r="323" spans="3:3">
      <c r="C323" s="2"/>
    </row>
    <row r="324" spans="3:3">
      <c r="C324" s="2"/>
    </row>
    <row r="325" spans="3:3">
      <c r="C325" s="2"/>
    </row>
    <row r="326" spans="3:3">
      <c r="C326" s="2"/>
    </row>
    <row r="327" spans="3:3">
      <c r="C327" s="2"/>
    </row>
    <row r="328" spans="3:3">
      <c r="C328" s="2"/>
    </row>
    <row r="329" spans="3:3">
      <c r="C329" s="2"/>
    </row>
    <row r="330" spans="3:3">
      <c r="C330" s="2"/>
    </row>
    <row r="331" spans="3:3">
      <c r="C331" s="2"/>
    </row>
    <row r="332" spans="3:3">
      <c r="C332" s="2"/>
    </row>
    <row r="333" spans="3:3">
      <c r="C333" s="2"/>
    </row>
    <row r="334" spans="3:3">
      <c r="C334" s="2"/>
    </row>
    <row r="335" spans="3:3">
      <c r="C335" s="2"/>
    </row>
    <row r="336" spans="3:3">
      <c r="C336" s="2"/>
    </row>
    <row r="337" spans="3:3">
      <c r="C337" s="2"/>
    </row>
    <row r="338" spans="3:3">
      <c r="C338" s="2"/>
    </row>
    <row r="339" spans="3:3">
      <c r="C339" s="2"/>
    </row>
    <row r="340" spans="3:3">
      <c r="C340" s="2"/>
    </row>
    <row r="341" spans="3:3">
      <c r="C341" s="2"/>
    </row>
    <row r="342" spans="3:3">
      <c r="C342" s="2"/>
    </row>
    <row r="343" spans="3:3">
      <c r="C343" s="2"/>
    </row>
    <row r="344" spans="3:3">
      <c r="C344" s="2"/>
    </row>
    <row r="345" spans="3:3">
      <c r="C345" s="2"/>
    </row>
    <row r="346" spans="3:3">
      <c r="C346" s="2"/>
    </row>
    <row r="347" spans="3:3">
      <c r="C347" s="2"/>
    </row>
    <row r="348" spans="3:3">
      <c r="C348" s="2"/>
    </row>
    <row r="349" spans="3:3">
      <c r="C349" s="2"/>
    </row>
    <row r="350" spans="3:3">
      <c r="C350" s="2"/>
    </row>
    <row r="351" spans="3:3">
      <c r="C351" s="2"/>
    </row>
    <row r="352" spans="3:3">
      <c r="C352" s="2"/>
    </row>
    <row r="353" spans="3:3">
      <c r="C353" s="2"/>
    </row>
    <row r="354" spans="3:3">
      <c r="C354" s="2"/>
    </row>
    <row r="355" spans="3:3">
      <c r="C355" s="2"/>
    </row>
    <row r="356" spans="3:3">
      <c r="C356" s="2"/>
    </row>
    <row r="357" spans="3:3">
      <c r="C357" s="2"/>
    </row>
    <row r="358" spans="3:3">
      <c r="C358" s="2"/>
    </row>
    <row r="359" spans="3:3">
      <c r="C359" s="2"/>
    </row>
    <row r="360" spans="3:3">
      <c r="C360" s="2"/>
    </row>
    <row r="361" spans="3:3">
      <c r="C361" s="2"/>
    </row>
    <row r="362" spans="3:3">
      <c r="C362" s="2"/>
    </row>
    <row r="363" spans="3:3">
      <c r="C363" s="2"/>
    </row>
    <row r="364" spans="3:3">
      <c r="C364" s="2"/>
    </row>
    <row r="365" spans="3:3">
      <c r="C365" s="2"/>
    </row>
    <row r="366" spans="3:3">
      <c r="C366" s="2"/>
    </row>
    <row r="367" spans="3:3">
      <c r="C367" s="2"/>
    </row>
    <row r="368" spans="3:3">
      <c r="C368" s="2"/>
    </row>
    <row r="369" spans="3:3">
      <c r="C369" s="2"/>
    </row>
    <row r="370" spans="3:3">
      <c r="C370" s="2"/>
    </row>
    <row r="371" spans="3:3">
      <c r="C371" s="2"/>
    </row>
    <row r="372" spans="3:3">
      <c r="C372" s="2"/>
    </row>
    <row r="373" spans="3:3">
      <c r="C373" s="2"/>
    </row>
    <row r="374" spans="3:3">
      <c r="C374" s="2"/>
    </row>
    <row r="375" spans="3:3">
      <c r="C375" s="2"/>
    </row>
    <row r="376" spans="3:3">
      <c r="C376" s="2"/>
    </row>
    <row r="377" spans="3:3">
      <c r="C377" s="2"/>
    </row>
    <row r="378" spans="3:3">
      <c r="C378" s="2"/>
    </row>
    <row r="379" spans="3:3">
      <c r="C379" s="2"/>
    </row>
    <row r="380" spans="3:3">
      <c r="C380" s="2"/>
    </row>
    <row r="381" spans="3:3">
      <c r="C381" s="3"/>
    </row>
    <row r="382" spans="3:3">
      <c r="C382" s="3"/>
    </row>
    <row r="383" spans="3:3">
      <c r="C383" s="3"/>
    </row>
    <row r="384" spans="3:3">
      <c r="C384" s="3"/>
    </row>
    <row r="385" spans="3:3">
      <c r="C385" s="3"/>
    </row>
    <row r="386" spans="3:3">
      <c r="C386" s="3"/>
    </row>
    <row r="387" spans="3:3">
      <c r="C387" s="3"/>
    </row>
    <row r="388" spans="3:3">
      <c r="C388" s="3"/>
    </row>
    <row r="389" spans="3:3">
      <c r="C389" s="3"/>
    </row>
    <row r="390" spans="3:3">
      <c r="C390" s="3"/>
    </row>
    <row r="391" spans="3:3">
      <c r="C391" s="3"/>
    </row>
    <row r="392" spans="3:3">
      <c r="C392" s="3"/>
    </row>
    <row r="393" spans="3:3">
      <c r="C393" s="3"/>
    </row>
    <row r="394" spans="3:3">
      <c r="C394" s="3"/>
    </row>
    <row r="395" spans="3:3">
      <c r="C395" s="3"/>
    </row>
    <row r="396" spans="3:3">
      <c r="C396" s="3"/>
    </row>
    <row r="397" spans="3:3">
      <c r="C397" s="3"/>
    </row>
    <row r="398" spans="3:3">
      <c r="C398" s="3"/>
    </row>
    <row r="399" spans="3:3">
      <c r="C399" s="3"/>
    </row>
    <row r="400" spans="3:3">
      <c r="C400" s="3"/>
    </row>
    <row r="401" spans="3:3">
      <c r="C401" s="3"/>
    </row>
    <row r="402" spans="3:3">
      <c r="C402" s="3"/>
    </row>
    <row r="403" spans="3:3">
      <c r="C403" s="3"/>
    </row>
    <row r="404" spans="3:3">
      <c r="C404" s="3"/>
    </row>
    <row r="405" spans="3:3">
      <c r="C405" s="3"/>
    </row>
    <row r="406" spans="3:3">
      <c r="C406" s="3"/>
    </row>
    <row r="407" spans="3:3">
      <c r="C407" s="3"/>
    </row>
    <row r="408" spans="3:3">
      <c r="C408" s="3"/>
    </row>
    <row r="409" spans="3:3">
      <c r="C409" s="3"/>
    </row>
    <row r="410" spans="3:3">
      <c r="C410" s="3"/>
    </row>
    <row r="411" spans="3:3">
      <c r="C411" s="3"/>
    </row>
    <row r="412" spans="3:3">
      <c r="C412" s="3"/>
    </row>
    <row r="413" spans="3:3">
      <c r="C413" s="3"/>
    </row>
    <row r="414" spans="3:3">
      <c r="C414" s="3"/>
    </row>
    <row r="415" spans="3:3">
      <c r="C415" s="3"/>
    </row>
    <row r="416" spans="3:3">
      <c r="C416" s="3"/>
    </row>
    <row r="417" spans="3:3">
      <c r="C417" s="3"/>
    </row>
    <row r="418" spans="3:3">
      <c r="C418" s="3"/>
    </row>
    <row r="419" spans="3:3">
      <c r="C419" s="3"/>
    </row>
    <row r="420" spans="3:3">
      <c r="C420" s="3"/>
    </row>
    <row r="421" spans="3:3">
      <c r="C421" s="3"/>
    </row>
    <row r="422" spans="3:3">
      <c r="C422" s="3"/>
    </row>
    <row r="423" spans="3:3">
      <c r="C423" s="3"/>
    </row>
    <row r="424" spans="3:3">
      <c r="C424" s="3"/>
    </row>
    <row r="425" spans="3:3">
      <c r="C425" s="3"/>
    </row>
    <row r="426" spans="3:3">
      <c r="C426" s="3"/>
    </row>
    <row r="427" spans="3:3">
      <c r="C427" s="3"/>
    </row>
    <row r="428" spans="3:3">
      <c r="C428" s="3"/>
    </row>
    <row r="429" spans="3:3">
      <c r="C429" s="3"/>
    </row>
    <row r="430" spans="3:3">
      <c r="C430" s="3"/>
    </row>
    <row r="431" spans="3:3">
      <c r="C431" s="3"/>
    </row>
    <row r="432" spans="3:3">
      <c r="C432" s="3"/>
    </row>
    <row r="433" spans="3:3">
      <c r="C433" s="3"/>
    </row>
    <row r="434" spans="3:3">
      <c r="C434" s="3"/>
    </row>
    <row r="435" spans="3:3">
      <c r="C435" s="3"/>
    </row>
    <row r="436" spans="3:3">
      <c r="C436" s="3"/>
    </row>
    <row r="437" spans="3:3">
      <c r="C437" s="3"/>
    </row>
    <row r="438" spans="3:3">
      <c r="C438" s="3"/>
    </row>
    <row r="439" spans="3:3">
      <c r="C439" s="3"/>
    </row>
  </sheetData>
  <mergeCells count="2">
    <mergeCell ref="A1:D1"/>
    <mergeCell ref="A51:C53"/>
  </mergeCells>
  <phoneticPr fontId="2" type="noConversion"/>
  <printOptions horizontalCentered="1" verticalCentered="1"/>
  <pageMargins left="0.78740157480314965" right="0.39370078740157483" top="0.39370078740157483" bottom="0.39370078740157483" header="0.51181102362204722" footer="0.51181102362204722"/>
  <pageSetup paperSize="9" orientation="portrait" horizontalDpi="4294967295" r:id="rId1"/>
  <headerFooter alignWithMargins="0">
    <oddHeader>&amp;LGoverno do Estado de MT&amp;CSecretaria de Estado de Transporte e Pav. Urbana</oddHeader>
    <oddFooter>&amp;CEng Darcibel Silva Ramos-Crea-MT04576/D-RN:1201486998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25" workbookViewId="0">
      <selection activeCell="G26" sqref="G26"/>
    </sheetView>
  </sheetViews>
  <sheetFormatPr defaultRowHeight="13.5"/>
  <cols>
    <col min="1" max="1" width="8" style="262" customWidth="1"/>
    <col min="2" max="4" width="9.140625" style="263"/>
    <col min="5" max="5" width="5.5703125" style="263" customWidth="1"/>
    <col min="6" max="6" width="9.140625" style="263"/>
    <col min="7" max="7" width="8" style="264" customWidth="1"/>
    <col min="8" max="8" width="8.28515625" style="264" customWidth="1"/>
    <col min="9" max="9" width="9.140625" style="264"/>
    <col min="10" max="11" width="9.140625" style="265"/>
  </cols>
  <sheetData>
    <row r="1" spans="1:11" ht="12.75">
      <c r="A1" s="1234" t="s">
        <v>343</v>
      </c>
      <c r="B1" s="1279"/>
      <c r="C1" s="1279"/>
      <c r="D1" s="1279"/>
      <c r="E1" s="1279"/>
      <c r="F1" s="1279"/>
      <c r="G1" s="1279"/>
      <c r="H1" s="1279"/>
      <c r="I1" s="1279"/>
      <c r="J1" s="1282" t="s">
        <v>259</v>
      </c>
      <c r="K1" s="1283"/>
    </row>
    <row r="2" spans="1:11" ht="12.75">
      <c r="A2" s="1280"/>
      <c r="B2" s="1281"/>
      <c r="C2" s="1281"/>
      <c r="D2" s="1281"/>
      <c r="E2" s="1281"/>
      <c r="F2" s="1281"/>
      <c r="G2" s="1281"/>
      <c r="H2" s="1281"/>
      <c r="I2" s="1281"/>
      <c r="J2" s="1284"/>
      <c r="K2" s="1285"/>
    </row>
    <row r="3" spans="1:11" ht="12.75">
      <c r="A3" s="1241" t="s">
        <v>260</v>
      </c>
      <c r="B3" s="1243" t="s">
        <v>261</v>
      </c>
      <c r="C3" s="1244"/>
      <c r="D3" s="1244"/>
      <c r="E3" s="1287"/>
      <c r="F3" s="1241" t="s">
        <v>344</v>
      </c>
      <c r="G3" s="1247" t="s">
        <v>345</v>
      </c>
      <c r="H3" s="1247" t="s">
        <v>346</v>
      </c>
      <c r="I3" s="1247" t="s">
        <v>347</v>
      </c>
      <c r="J3" s="1247" t="s">
        <v>348</v>
      </c>
      <c r="K3" s="1247" t="s">
        <v>349</v>
      </c>
    </row>
    <row r="4" spans="1:11" ht="12.75">
      <c r="A4" s="1286"/>
      <c r="B4" s="1288"/>
      <c r="C4" s="1289"/>
      <c r="D4" s="1289"/>
      <c r="E4" s="1290"/>
      <c r="F4" s="1286"/>
      <c r="G4" s="1293"/>
      <c r="H4" s="1293"/>
      <c r="I4" s="1293"/>
      <c r="J4" s="1293"/>
      <c r="K4" s="1293"/>
    </row>
    <row r="5" spans="1:11" ht="12.75">
      <c r="A5" s="1242"/>
      <c r="B5" s="1249"/>
      <c r="C5" s="1291"/>
      <c r="D5" s="1291"/>
      <c r="E5" s="1292"/>
      <c r="F5" s="1242"/>
      <c r="G5" s="1248"/>
      <c r="H5" s="1248"/>
      <c r="I5" s="1248"/>
      <c r="J5" s="1248"/>
      <c r="K5" s="1248"/>
    </row>
    <row r="6" spans="1:11" ht="12.75">
      <c r="A6" s="245" t="s">
        <v>350</v>
      </c>
      <c r="B6" s="1276" t="s">
        <v>351</v>
      </c>
      <c r="C6" s="1277"/>
      <c r="D6" s="1277"/>
      <c r="E6" s="1278"/>
      <c r="F6" s="249" t="s">
        <v>352</v>
      </c>
      <c r="G6" s="277">
        <v>1</v>
      </c>
      <c r="H6" s="277">
        <v>2</v>
      </c>
      <c r="I6" s="276">
        <v>1098</v>
      </c>
      <c r="J6" s="251">
        <v>110</v>
      </c>
      <c r="K6" s="251">
        <f>G6*J6*H7</f>
        <v>220</v>
      </c>
    </row>
    <row r="7" spans="1:11" ht="12.75">
      <c r="A7" s="252" t="s">
        <v>353</v>
      </c>
      <c r="B7" s="1223" t="s">
        <v>354</v>
      </c>
      <c r="C7" s="1224"/>
      <c r="D7" s="1224"/>
      <c r="E7" s="1225"/>
      <c r="F7" s="249" t="s">
        <v>352</v>
      </c>
      <c r="G7" s="277">
        <v>1</v>
      </c>
      <c r="H7" s="277">
        <v>2</v>
      </c>
      <c r="I7" s="276">
        <v>1098</v>
      </c>
      <c r="J7" s="251">
        <v>110</v>
      </c>
      <c r="K7" s="251">
        <f t="shared" ref="K7:K18" si="0">G7*J7*H7</f>
        <v>220</v>
      </c>
    </row>
    <row r="8" spans="1:11" ht="12.75">
      <c r="A8" s="252" t="s">
        <v>355</v>
      </c>
      <c r="B8" s="1223" t="s">
        <v>356</v>
      </c>
      <c r="C8" s="1224"/>
      <c r="D8" s="1224"/>
      <c r="E8" s="1225"/>
      <c r="F8" s="249" t="s">
        <v>352</v>
      </c>
      <c r="G8" s="277">
        <v>1</v>
      </c>
      <c r="H8" s="277">
        <v>2</v>
      </c>
      <c r="I8" s="276">
        <v>1098</v>
      </c>
      <c r="J8" s="251">
        <v>110</v>
      </c>
      <c r="K8" s="251">
        <f t="shared" si="0"/>
        <v>220</v>
      </c>
    </row>
    <row r="9" spans="1:11" ht="12.75">
      <c r="A9" s="252" t="s">
        <v>357</v>
      </c>
      <c r="B9" s="1250" t="s">
        <v>358</v>
      </c>
      <c r="C9" s="1251"/>
      <c r="D9" s="1251"/>
      <c r="E9" s="1252"/>
      <c r="F9" s="249" t="s">
        <v>352</v>
      </c>
      <c r="G9" s="277">
        <v>1</v>
      </c>
      <c r="H9" s="277">
        <v>2</v>
      </c>
      <c r="I9" s="276">
        <v>1098</v>
      </c>
      <c r="J9" s="251">
        <v>110</v>
      </c>
      <c r="K9" s="251">
        <f t="shared" si="0"/>
        <v>220</v>
      </c>
    </row>
    <row r="10" spans="1:11" ht="12.75">
      <c r="A10" s="252" t="s">
        <v>357</v>
      </c>
      <c r="B10" s="1223" t="s">
        <v>359</v>
      </c>
      <c r="C10" s="1224"/>
      <c r="D10" s="1224"/>
      <c r="E10" s="1225"/>
      <c r="F10" s="249" t="s">
        <v>352</v>
      </c>
      <c r="G10" s="277">
        <v>1</v>
      </c>
      <c r="H10" s="277">
        <v>2</v>
      </c>
      <c r="I10" s="276">
        <v>1098</v>
      </c>
      <c r="J10" s="251">
        <v>110</v>
      </c>
      <c r="K10" s="251">
        <f t="shared" si="0"/>
        <v>220</v>
      </c>
    </row>
    <row r="11" spans="1:11" ht="12.75">
      <c r="A11" s="252" t="s">
        <v>357</v>
      </c>
      <c r="B11" s="1223" t="s">
        <v>360</v>
      </c>
      <c r="C11" s="1224"/>
      <c r="D11" s="1224"/>
      <c r="E11" s="1225"/>
      <c r="F11" s="249" t="s">
        <v>352</v>
      </c>
      <c r="G11" s="277">
        <v>1</v>
      </c>
      <c r="H11" s="277">
        <v>2</v>
      </c>
      <c r="I11" s="276">
        <v>1098</v>
      </c>
      <c r="J11" s="251">
        <v>110</v>
      </c>
      <c r="K11" s="251">
        <f t="shared" si="0"/>
        <v>220</v>
      </c>
    </row>
    <row r="12" spans="1:11" ht="12.75">
      <c r="A12" s="252" t="s">
        <v>357</v>
      </c>
      <c r="B12" s="1223" t="s">
        <v>361</v>
      </c>
      <c r="C12" s="1224"/>
      <c r="D12" s="1224"/>
      <c r="E12" s="1225"/>
      <c r="F12" s="249" t="s">
        <v>352</v>
      </c>
      <c r="G12" s="277">
        <v>1</v>
      </c>
      <c r="H12" s="277">
        <v>2</v>
      </c>
      <c r="I12" s="276">
        <v>1098</v>
      </c>
      <c r="J12" s="251">
        <v>110</v>
      </c>
      <c r="K12" s="251">
        <f t="shared" si="0"/>
        <v>220</v>
      </c>
    </row>
    <row r="13" spans="1:11" ht="12.75">
      <c r="A13" s="252" t="s">
        <v>357</v>
      </c>
      <c r="B13" s="1250" t="s">
        <v>362</v>
      </c>
      <c r="C13" s="1251"/>
      <c r="D13" s="1251"/>
      <c r="E13" s="1252"/>
      <c r="F13" s="249" t="s">
        <v>352</v>
      </c>
      <c r="G13" s="277">
        <v>1</v>
      </c>
      <c r="H13" s="277">
        <v>2</v>
      </c>
      <c r="I13" s="276">
        <v>1098</v>
      </c>
      <c r="J13" s="251">
        <v>110</v>
      </c>
      <c r="K13" s="251">
        <f t="shared" si="0"/>
        <v>220</v>
      </c>
    </row>
    <row r="14" spans="1:11" ht="12.75">
      <c r="A14" s="252" t="s">
        <v>363</v>
      </c>
      <c r="B14" s="1250" t="s">
        <v>364</v>
      </c>
      <c r="C14" s="1251"/>
      <c r="D14" s="1251"/>
      <c r="E14" s="1252"/>
      <c r="F14" s="249" t="s">
        <v>352</v>
      </c>
      <c r="G14" s="277">
        <v>1</v>
      </c>
      <c r="H14" s="277">
        <v>2</v>
      </c>
      <c r="I14" s="276">
        <v>1098</v>
      </c>
      <c r="J14" s="251">
        <v>110</v>
      </c>
      <c r="K14" s="251">
        <f t="shared" si="0"/>
        <v>220</v>
      </c>
    </row>
    <row r="15" spans="1:11" ht="12.75">
      <c r="A15" s="252" t="s">
        <v>463</v>
      </c>
      <c r="B15" s="1250" t="s">
        <v>464</v>
      </c>
      <c r="C15" s="1251"/>
      <c r="D15" s="1251"/>
      <c r="E15" s="1252"/>
      <c r="F15" s="249" t="s">
        <v>352</v>
      </c>
      <c r="G15" s="277">
        <v>2</v>
      </c>
      <c r="H15" s="277">
        <v>2</v>
      </c>
      <c r="I15" s="276">
        <v>1098</v>
      </c>
      <c r="J15" s="251">
        <v>110</v>
      </c>
      <c r="K15" s="251">
        <f t="shared" si="0"/>
        <v>440</v>
      </c>
    </row>
    <row r="16" spans="1:11" ht="12.75">
      <c r="A16" s="252" t="s">
        <v>365</v>
      </c>
      <c r="B16" s="1223" t="s">
        <v>366</v>
      </c>
      <c r="C16" s="1224"/>
      <c r="D16" s="1224"/>
      <c r="E16" s="1225"/>
      <c r="F16" s="249" t="s">
        <v>352</v>
      </c>
      <c r="G16" s="277">
        <v>1</v>
      </c>
      <c r="H16" s="277">
        <v>2</v>
      </c>
      <c r="I16" s="276">
        <v>1098</v>
      </c>
      <c r="J16" s="251">
        <v>110</v>
      </c>
      <c r="K16" s="251">
        <f t="shared" si="0"/>
        <v>220</v>
      </c>
    </row>
    <row r="17" spans="1:11" ht="12.75">
      <c r="A17" s="252" t="s">
        <v>367</v>
      </c>
      <c r="B17" s="1223" t="s">
        <v>368</v>
      </c>
      <c r="C17" s="1224"/>
      <c r="D17" s="1224"/>
      <c r="E17" s="1225"/>
      <c r="F17" s="249" t="s">
        <v>352</v>
      </c>
      <c r="G17" s="277">
        <v>1</v>
      </c>
      <c r="H17" s="277">
        <v>2</v>
      </c>
      <c r="I17" s="276">
        <v>1098</v>
      </c>
      <c r="J17" s="251">
        <v>110</v>
      </c>
      <c r="K17" s="251">
        <f t="shared" si="0"/>
        <v>220</v>
      </c>
    </row>
    <row r="18" spans="1:11" ht="12.75">
      <c r="A18" s="252" t="s">
        <v>369</v>
      </c>
      <c r="B18" s="1250" t="s">
        <v>370</v>
      </c>
      <c r="C18" s="1251"/>
      <c r="D18" s="1251"/>
      <c r="E18" s="1252"/>
      <c r="F18" s="249" t="s">
        <v>352</v>
      </c>
      <c r="G18" s="277">
        <v>1</v>
      </c>
      <c r="H18" s="277">
        <v>2</v>
      </c>
      <c r="I18" s="276">
        <v>1098</v>
      </c>
      <c r="J18" s="251">
        <v>110</v>
      </c>
      <c r="K18" s="251">
        <f t="shared" si="0"/>
        <v>220</v>
      </c>
    </row>
    <row r="19" spans="1:11" ht="12.75">
      <c r="A19" s="252" t="s">
        <v>371</v>
      </c>
      <c r="B19" s="1250" t="s">
        <v>473</v>
      </c>
      <c r="C19" s="1251"/>
      <c r="D19" s="1251"/>
      <c r="E19" s="1252"/>
      <c r="F19" s="249" t="s">
        <v>352</v>
      </c>
      <c r="G19" s="277">
        <v>82</v>
      </c>
      <c r="H19" s="277">
        <v>2</v>
      </c>
      <c r="I19" s="276">
        <v>1098</v>
      </c>
      <c r="J19" s="251">
        <v>110</v>
      </c>
      <c r="K19" s="251">
        <f t="shared" ref="K19:K25" si="1">G19*J19*H19</f>
        <v>18040</v>
      </c>
    </row>
    <row r="20" spans="1:11" ht="12.75">
      <c r="A20" s="252" t="s">
        <v>472</v>
      </c>
      <c r="B20" s="1250" t="s">
        <v>471</v>
      </c>
      <c r="C20" s="1251"/>
      <c r="D20" s="1251"/>
      <c r="E20" s="1252"/>
      <c r="F20" s="249" t="s">
        <v>352</v>
      </c>
      <c r="G20" s="277">
        <v>1</v>
      </c>
      <c r="H20" s="277">
        <v>2</v>
      </c>
      <c r="I20" s="276">
        <v>1098</v>
      </c>
      <c r="J20" s="251">
        <v>110</v>
      </c>
      <c r="K20" s="251">
        <f t="shared" si="1"/>
        <v>220</v>
      </c>
    </row>
    <row r="21" spans="1:11" ht="12.75">
      <c r="A21" s="245" t="s">
        <v>372</v>
      </c>
      <c r="B21" s="1223" t="s">
        <v>373</v>
      </c>
      <c r="C21" s="1224"/>
      <c r="D21" s="1224"/>
      <c r="E21" s="1225"/>
      <c r="F21" s="249" t="s">
        <v>352</v>
      </c>
      <c r="G21" s="277">
        <v>1</v>
      </c>
      <c r="H21" s="277">
        <v>2</v>
      </c>
      <c r="I21" s="276">
        <v>1098</v>
      </c>
      <c r="J21" s="251">
        <v>110</v>
      </c>
      <c r="K21" s="251">
        <f t="shared" si="1"/>
        <v>220</v>
      </c>
    </row>
    <row r="22" spans="1:11" ht="12.75">
      <c r="A22" s="252" t="s">
        <v>374</v>
      </c>
      <c r="B22" s="1223" t="s">
        <v>375</v>
      </c>
      <c r="C22" s="1224"/>
      <c r="D22" s="1224"/>
      <c r="E22" s="1225"/>
      <c r="F22" s="249" t="s">
        <v>352</v>
      </c>
      <c r="G22" s="277">
        <v>4</v>
      </c>
      <c r="H22" s="277">
        <v>2</v>
      </c>
      <c r="I22" s="276">
        <v>1098</v>
      </c>
      <c r="J22" s="251">
        <v>110</v>
      </c>
      <c r="K22" s="251">
        <f t="shared" si="1"/>
        <v>880</v>
      </c>
    </row>
    <row r="23" spans="1:11" ht="12.75">
      <c r="A23" s="252" t="s">
        <v>466</v>
      </c>
      <c r="B23" s="246" t="s">
        <v>465</v>
      </c>
      <c r="C23" s="247"/>
      <c r="D23" s="247"/>
      <c r="E23" s="248"/>
      <c r="F23" s="249" t="s">
        <v>352</v>
      </c>
      <c r="G23" s="277">
        <v>1</v>
      </c>
      <c r="H23" s="277">
        <v>2</v>
      </c>
      <c r="I23" s="276">
        <v>1098</v>
      </c>
      <c r="J23" s="251">
        <v>110</v>
      </c>
      <c r="K23" s="251">
        <f t="shared" si="1"/>
        <v>220</v>
      </c>
    </row>
    <row r="24" spans="1:11" ht="12.75">
      <c r="A24" s="252" t="s">
        <v>469</v>
      </c>
      <c r="B24" s="246" t="s">
        <v>467</v>
      </c>
      <c r="C24" s="247"/>
      <c r="D24" s="247"/>
      <c r="E24" s="248"/>
      <c r="F24" s="249" t="s">
        <v>352</v>
      </c>
      <c r="G24" s="277">
        <v>2</v>
      </c>
      <c r="H24" s="277">
        <v>2</v>
      </c>
      <c r="I24" s="276">
        <v>1098</v>
      </c>
      <c r="J24" s="251">
        <v>110</v>
      </c>
      <c r="K24" s="251">
        <f t="shared" si="1"/>
        <v>440</v>
      </c>
    </row>
    <row r="25" spans="1:11" ht="12.75">
      <c r="A25" s="252" t="s">
        <v>470</v>
      </c>
      <c r="B25" s="246" t="s">
        <v>468</v>
      </c>
      <c r="C25" s="247"/>
      <c r="D25" s="247"/>
      <c r="E25" s="248"/>
      <c r="F25" s="249" t="s">
        <v>352</v>
      </c>
      <c r="G25" s="277">
        <v>1</v>
      </c>
      <c r="H25" s="277">
        <v>2</v>
      </c>
      <c r="I25" s="276">
        <v>1098</v>
      </c>
      <c r="J25" s="251">
        <v>110</v>
      </c>
      <c r="K25" s="251">
        <f t="shared" si="1"/>
        <v>220</v>
      </c>
    </row>
    <row r="26" spans="1:11" ht="12.75">
      <c r="A26" s="252"/>
      <c r="B26" s="246"/>
      <c r="C26" s="247"/>
      <c r="D26" s="247"/>
      <c r="E26" s="248"/>
      <c r="F26" s="249"/>
      <c r="G26" s="277"/>
      <c r="H26" s="277"/>
      <c r="I26" s="276"/>
      <c r="J26" s="251"/>
      <c r="K26" s="251"/>
    </row>
    <row r="27" spans="1:11" ht="12.75">
      <c r="A27" s="252"/>
      <c r="B27" s="246"/>
      <c r="C27" s="247"/>
      <c r="D27" s="247"/>
      <c r="E27" s="248"/>
      <c r="F27" s="249"/>
      <c r="G27" s="277"/>
      <c r="H27" s="277"/>
      <c r="I27" s="276"/>
      <c r="J27" s="251"/>
      <c r="K27" s="251"/>
    </row>
    <row r="28" spans="1:11" ht="12.75">
      <c r="A28" s="252"/>
      <c r="B28" s="246"/>
      <c r="C28" s="247"/>
      <c r="D28" s="247"/>
      <c r="E28" s="248"/>
      <c r="F28" s="249"/>
      <c r="G28" s="277"/>
      <c r="H28" s="277"/>
      <c r="I28" s="276"/>
      <c r="J28" s="251"/>
      <c r="K28" s="251"/>
    </row>
    <row r="29" spans="1:11" ht="12.75">
      <c r="A29" s="252"/>
      <c r="B29" s="1223"/>
      <c r="C29" s="1224"/>
      <c r="D29" s="1224"/>
      <c r="E29" s="1225"/>
      <c r="F29" s="249"/>
      <c r="G29" s="250"/>
      <c r="H29" s="250"/>
      <c r="I29" s="276"/>
      <c r="J29" s="251"/>
      <c r="K29" s="251"/>
    </row>
    <row r="30" spans="1:11" ht="12.75">
      <c r="A30" s="252"/>
      <c r="B30" s="1270"/>
      <c r="C30" s="1271"/>
      <c r="D30" s="1271"/>
      <c r="E30" s="1272"/>
      <c r="F30" s="249"/>
      <c r="G30" s="276"/>
      <c r="H30" s="276"/>
      <c r="I30" s="276"/>
      <c r="J30" s="251"/>
      <c r="K30" s="251"/>
    </row>
    <row r="31" spans="1:11" ht="12.75">
      <c r="A31" s="1273" t="s">
        <v>325</v>
      </c>
      <c r="B31" s="1274"/>
      <c r="C31" s="1274"/>
      <c r="D31" s="1274"/>
      <c r="E31" s="1274"/>
      <c r="F31" s="1274"/>
      <c r="G31" s="1274"/>
      <c r="H31" s="1274"/>
      <c r="I31" s="1274"/>
      <c r="J31" s="1275"/>
      <c r="K31" s="278">
        <f>SUM(K6:K30)</f>
        <v>23320</v>
      </c>
    </row>
    <row r="32" spans="1:11">
      <c r="A32" s="1264" t="s">
        <v>271</v>
      </c>
      <c r="B32" s="1265"/>
      <c r="C32" s="1265"/>
      <c r="D32" s="1265"/>
      <c r="E32" s="1265"/>
      <c r="F32" s="1265"/>
      <c r="G32" s="1265"/>
      <c r="H32" s="1265"/>
      <c r="I32" s="1265"/>
      <c r="J32" s="1266"/>
      <c r="K32" s="279">
        <f>K31*0.267</f>
        <v>6226.4400000000005</v>
      </c>
    </row>
    <row r="33" spans="1:11">
      <c r="A33" s="1264" t="s">
        <v>272</v>
      </c>
      <c r="B33" s="1265"/>
      <c r="C33" s="1265"/>
      <c r="D33" s="1265"/>
      <c r="E33" s="1265"/>
      <c r="F33" s="1265"/>
      <c r="G33" s="1265"/>
      <c r="H33" s="1265"/>
      <c r="I33" s="1265"/>
      <c r="J33" s="1266"/>
      <c r="K33" s="280">
        <f>SUM(K32,K31)</f>
        <v>29546.440000000002</v>
      </c>
    </row>
    <row r="34" spans="1:11">
      <c r="A34" s="1264" t="s">
        <v>376</v>
      </c>
      <c r="B34" s="1265"/>
      <c r="C34" s="1265"/>
      <c r="D34" s="1265"/>
      <c r="E34" s="1265"/>
      <c r="F34" s="1265"/>
      <c r="G34" s="1265"/>
      <c r="H34" s="1265"/>
      <c r="I34" s="1265"/>
      <c r="J34" s="1266"/>
      <c r="K34" s="280">
        <f>K33/2</f>
        <v>14773.220000000001</v>
      </c>
    </row>
    <row r="35" spans="1:11">
      <c r="A35" s="1264" t="s">
        <v>377</v>
      </c>
      <c r="B35" s="1265"/>
      <c r="C35" s="1265"/>
      <c r="D35" s="1265"/>
      <c r="E35" s="1265"/>
      <c r="F35" s="1265"/>
      <c r="G35" s="1265"/>
      <c r="H35" s="1265"/>
      <c r="I35" s="1265"/>
      <c r="J35" s="1266"/>
      <c r="K35" s="280">
        <f>K33/2</f>
        <v>14773.220000000001</v>
      </c>
    </row>
    <row r="36" spans="1:11">
      <c r="A36" s="1267" t="s">
        <v>378</v>
      </c>
      <c r="B36" s="1268"/>
      <c r="C36" s="1268"/>
      <c r="D36" s="1268"/>
      <c r="E36" s="1268"/>
      <c r="F36" s="1268"/>
      <c r="G36" s="1268"/>
      <c r="H36" s="1268"/>
      <c r="I36" s="1268"/>
      <c r="J36" s="1268"/>
      <c r="K36" s="1269"/>
    </row>
    <row r="37" spans="1:11" ht="12.75">
      <c r="A37" s="281"/>
      <c r="B37" s="282"/>
      <c r="C37" s="282"/>
      <c r="D37" s="282"/>
      <c r="E37" s="282"/>
      <c r="F37" s="282"/>
      <c r="G37" s="283"/>
      <c r="H37" s="283"/>
      <c r="I37" s="283"/>
      <c r="J37" s="282"/>
      <c r="K37" s="284"/>
    </row>
  </sheetData>
  <mergeCells count="35">
    <mergeCell ref="A1:I2"/>
    <mergeCell ref="J1:K2"/>
    <mergeCell ref="A3:A5"/>
    <mergeCell ref="B3:E5"/>
    <mergeCell ref="F3:F5"/>
    <mergeCell ref="G3:G5"/>
    <mergeCell ref="H3:H5"/>
    <mergeCell ref="I3:I5"/>
    <mergeCell ref="J3:J5"/>
    <mergeCell ref="K3:K5"/>
    <mergeCell ref="B6:E6"/>
    <mergeCell ref="B7:E7"/>
    <mergeCell ref="B8:E8"/>
    <mergeCell ref="B9:E9"/>
    <mergeCell ref="B10:E10"/>
    <mergeCell ref="B11:E11"/>
    <mergeCell ref="B29:E29"/>
    <mergeCell ref="B30:E30"/>
    <mergeCell ref="A31:J31"/>
    <mergeCell ref="B12:E12"/>
    <mergeCell ref="B13:E13"/>
    <mergeCell ref="B14:E14"/>
    <mergeCell ref="B16:E16"/>
    <mergeCell ref="B17:E17"/>
    <mergeCell ref="B18:E18"/>
    <mergeCell ref="B15:E15"/>
    <mergeCell ref="B20:E20"/>
    <mergeCell ref="B19:E19"/>
    <mergeCell ref="B21:E21"/>
    <mergeCell ref="B22:E22"/>
    <mergeCell ref="A32:J32"/>
    <mergeCell ref="A33:J33"/>
    <mergeCell ref="A34:J34"/>
    <mergeCell ref="A35:J35"/>
    <mergeCell ref="A36:K36"/>
  </mergeCells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&amp;CEng Darcibel Silva Ramos-Crea-MT04576/D-RN:1201486998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F28" sqref="F28"/>
    </sheetView>
  </sheetViews>
  <sheetFormatPr defaultRowHeight="13.5"/>
  <cols>
    <col min="1" max="1" width="7" customWidth="1"/>
    <col min="2" max="3" width="9.140625" style="263"/>
    <col min="4" max="4" width="3.7109375" style="263" customWidth="1"/>
    <col min="5" max="5" width="9.140625" style="263"/>
    <col min="6" max="7" width="8.42578125" style="264" customWidth="1"/>
    <col min="8" max="8" width="8.85546875" style="264" customWidth="1"/>
    <col min="9" max="9" width="9.140625" style="264"/>
    <col min="10" max="10" width="10" style="264" customWidth="1"/>
    <col min="11" max="12" width="9.140625" style="265"/>
  </cols>
  <sheetData>
    <row r="1" spans="1:12" ht="12.75" customHeight="1">
      <c r="A1" s="1301" t="s">
        <v>379</v>
      </c>
      <c r="B1" s="1302"/>
      <c r="C1" s="1302"/>
      <c r="D1" s="1302"/>
      <c r="E1" s="1302"/>
      <c r="F1" s="1302"/>
      <c r="G1" s="1302"/>
      <c r="H1" s="1302"/>
      <c r="I1" s="1302"/>
      <c r="J1" s="1303"/>
      <c r="K1" s="1282" t="s">
        <v>259</v>
      </c>
      <c r="L1" s="1283"/>
    </row>
    <row r="2" spans="1:12" ht="29.25" customHeight="1">
      <c r="A2" s="1304"/>
      <c r="B2" s="1305"/>
      <c r="C2" s="1305"/>
      <c r="D2" s="1305"/>
      <c r="E2" s="1305"/>
      <c r="F2" s="1305"/>
      <c r="G2" s="1305"/>
      <c r="H2" s="1305"/>
      <c r="I2" s="1305"/>
      <c r="J2" s="1306"/>
      <c r="K2" s="1284"/>
      <c r="L2" s="1285"/>
    </row>
    <row r="3" spans="1:12" ht="12.75">
      <c r="A3" s="1243" t="s">
        <v>450</v>
      </c>
      <c r="B3" s="1243" t="s">
        <v>261</v>
      </c>
      <c r="C3" s="1244"/>
      <c r="D3" s="1287"/>
      <c r="E3" s="1243" t="s">
        <v>344</v>
      </c>
      <c r="F3" s="1247" t="s">
        <v>380</v>
      </c>
      <c r="G3" s="1241" t="s">
        <v>381</v>
      </c>
      <c r="H3" s="1241" t="s">
        <v>382</v>
      </c>
      <c r="I3" s="1247" t="s">
        <v>383</v>
      </c>
      <c r="J3" s="1247" t="s">
        <v>384</v>
      </c>
      <c r="K3" s="1247" t="s">
        <v>385</v>
      </c>
      <c r="L3" s="1247" t="s">
        <v>386</v>
      </c>
    </row>
    <row r="4" spans="1:12" ht="12.75">
      <c r="A4" s="1288"/>
      <c r="B4" s="1288"/>
      <c r="C4" s="1289"/>
      <c r="D4" s="1290"/>
      <c r="E4" s="1288"/>
      <c r="F4" s="1293"/>
      <c r="G4" s="1286"/>
      <c r="H4" s="1286"/>
      <c r="I4" s="1293"/>
      <c r="J4" s="1293"/>
      <c r="K4" s="1293"/>
      <c r="L4" s="1293"/>
    </row>
    <row r="5" spans="1:12" ht="12.75">
      <c r="A5" s="1249"/>
      <c r="B5" s="1245"/>
      <c r="C5" s="1246"/>
      <c r="D5" s="1314"/>
      <c r="E5" s="1249"/>
      <c r="F5" s="1248"/>
      <c r="G5" s="1242"/>
      <c r="H5" s="1242"/>
      <c r="I5" s="1248"/>
      <c r="J5" s="1248"/>
      <c r="K5" s="1248"/>
      <c r="L5" s="1248"/>
    </row>
    <row r="6" spans="1:12" ht="12.75">
      <c r="A6" s="346" t="s">
        <v>457</v>
      </c>
      <c r="B6" s="1311" t="s">
        <v>387</v>
      </c>
      <c r="C6" s="1312"/>
      <c r="D6" s="1313"/>
      <c r="E6" s="285" t="s">
        <v>388</v>
      </c>
      <c r="F6" s="286">
        <v>1</v>
      </c>
      <c r="G6" s="287">
        <v>5</v>
      </c>
      <c r="H6" s="288" t="s">
        <v>389</v>
      </c>
      <c r="I6" s="289">
        <v>1098</v>
      </c>
      <c r="J6" s="290">
        <f>I6/G6</f>
        <v>219.6</v>
      </c>
      <c r="K6" s="291">
        <v>2.75</v>
      </c>
      <c r="L6" s="251">
        <f>K6*J6*F6</f>
        <v>603.9</v>
      </c>
    </row>
    <row r="7" spans="1:12" ht="12.75">
      <c r="A7" s="346" t="s">
        <v>460</v>
      </c>
      <c r="B7" s="1308" t="s">
        <v>390</v>
      </c>
      <c r="C7" s="1309"/>
      <c r="D7" s="1310"/>
      <c r="E7" s="285" t="s">
        <v>388</v>
      </c>
      <c r="F7" s="285">
        <v>3</v>
      </c>
      <c r="G7" s="287">
        <v>8</v>
      </c>
      <c r="H7" s="288" t="s">
        <v>391</v>
      </c>
      <c r="I7" s="289">
        <v>1098</v>
      </c>
      <c r="J7" s="290">
        <f>I7/G7</f>
        <v>137.25</v>
      </c>
      <c r="K7" s="291">
        <v>2.2000000000000002</v>
      </c>
      <c r="L7" s="251">
        <f t="shared" ref="L7:L15" si="0">K7*J7*F7</f>
        <v>905.85000000000014</v>
      </c>
    </row>
    <row r="8" spans="1:12" ht="12.75">
      <c r="A8" s="346" t="s">
        <v>461</v>
      </c>
      <c r="B8" s="1308" t="s">
        <v>392</v>
      </c>
      <c r="C8" s="1309"/>
      <c r="D8" s="1310"/>
      <c r="E8" s="285" t="s">
        <v>388</v>
      </c>
      <c r="F8" s="285">
        <v>2</v>
      </c>
      <c r="G8" s="287">
        <v>7</v>
      </c>
      <c r="H8" s="288" t="s">
        <v>389</v>
      </c>
      <c r="I8" s="289">
        <v>1098</v>
      </c>
      <c r="J8" s="290">
        <f t="shared" ref="J8:J15" si="1">I8/G8</f>
        <v>156.85714285714286</v>
      </c>
      <c r="K8" s="291">
        <v>2.75</v>
      </c>
      <c r="L8" s="251">
        <f t="shared" si="0"/>
        <v>862.71428571428578</v>
      </c>
    </row>
    <row r="9" spans="1:12" ht="12.75">
      <c r="A9" s="346" t="s">
        <v>451</v>
      </c>
      <c r="B9" s="1308" t="s">
        <v>393</v>
      </c>
      <c r="C9" s="1309"/>
      <c r="D9" s="1310"/>
      <c r="E9" s="285" t="s">
        <v>388</v>
      </c>
      <c r="F9" s="285">
        <v>1</v>
      </c>
      <c r="G9" s="287">
        <v>3</v>
      </c>
      <c r="H9" s="288" t="s">
        <v>389</v>
      </c>
      <c r="I9" s="289">
        <v>1098</v>
      </c>
      <c r="J9" s="290">
        <f t="shared" si="1"/>
        <v>366</v>
      </c>
      <c r="K9" s="291">
        <v>2.75</v>
      </c>
      <c r="L9" s="251">
        <f t="shared" si="0"/>
        <v>1006.5</v>
      </c>
    </row>
    <row r="10" spans="1:12" ht="12.75">
      <c r="A10" s="346" t="s">
        <v>458</v>
      </c>
      <c r="B10" s="1308" t="s">
        <v>394</v>
      </c>
      <c r="C10" s="1309"/>
      <c r="D10" s="1310"/>
      <c r="E10" s="285" t="s">
        <v>388</v>
      </c>
      <c r="F10" s="285">
        <v>6</v>
      </c>
      <c r="G10" s="287">
        <v>3</v>
      </c>
      <c r="H10" s="288" t="s">
        <v>389</v>
      </c>
      <c r="I10" s="289">
        <v>1098</v>
      </c>
      <c r="J10" s="290">
        <f t="shared" si="1"/>
        <v>366</v>
      </c>
      <c r="K10" s="291">
        <v>2.75</v>
      </c>
      <c r="L10" s="251">
        <f t="shared" si="0"/>
        <v>6039</v>
      </c>
    </row>
    <row r="11" spans="1:12" ht="12.75">
      <c r="A11" s="346" t="s">
        <v>459</v>
      </c>
      <c r="B11" s="1308" t="s">
        <v>395</v>
      </c>
      <c r="C11" s="1309"/>
      <c r="D11" s="1310"/>
      <c r="E11" s="285" t="s">
        <v>388</v>
      </c>
      <c r="F11" s="285">
        <v>25</v>
      </c>
      <c r="G11" s="287">
        <v>3</v>
      </c>
      <c r="H11" s="288" t="s">
        <v>389</v>
      </c>
      <c r="I11" s="289">
        <v>1098</v>
      </c>
      <c r="J11" s="290">
        <f t="shared" si="1"/>
        <v>366</v>
      </c>
      <c r="K11" s="291">
        <v>2.75</v>
      </c>
      <c r="L11" s="251">
        <f t="shared" si="0"/>
        <v>25162.5</v>
      </c>
    </row>
    <row r="12" spans="1:12" ht="12.75">
      <c r="A12" s="346" t="s">
        <v>456</v>
      </c>
      <c r="B12" s="1308" t="s">
        <v>396</v>
      </c>
      <c r="C12" s="1309"/>
      <c r="D12" s="1310"/>
      <c r="E12" s="285" t="s">
        <v>388</v>
      </c>
      <c r="F12" s="285">
        <v>2</v>
      </c>
      <c r="G12" s="287">
        <v>5</v>
      </c>
      <c r="H12" s="288" t="s">
        <v>389</v>
      </c>
      <c r="I12" s="289">
        <v>1098</v>
      </c>
      <c r="J12" s="290">
        <f t="shared" si="1"/>
        <v>219.6</v>
      </c>
      <c r="K12" s="291">
        <v>2.75</v>
      </c>
      <c r="L12" s="251">
        <f t="shared" si="0"/>
        <v>1207.8</v>
      </c>
    </row>
    <row r="13" spans="1:12" ht="12.75">
      <c r="A13" s="346" t="s">
        <v>452</v>
      </c>
      <c r="B13" s="1308" t="s">
        <v>397</v>
      </c>
      <c r="C13" s="1309"/>
      <c r="D13" s="1310"/>
      <c r="E13" s="285" t="s">
        <v>388</v>
      </c>
      <c r="F13" s="285">
        <v>4</v>
      </c>
      <c r="G13" s="287">
        <v>3</v>
      </c>
      <c r="H13" s="288" t="s">
        <v>389</v>
      </c>
      <c r="I13" s="289">
        <v>1098</v>
      </c>
      <c r="J13" s="290">
        <f t="shared" si="1"/>
        <v>366</v>
      </c>
      <c r="K13" s="291">
        <v>2.75</v>
      </c>
      <c r="L13" s="251">
        <f t="shared" si="0"/>
        <v>4026</v>
      </c>
    </row>
    <row r="14" spans="1:12" ht="12.75">
      <c r="A14" s="346" t="s">
        <v>453</v>
      </c>
      <c r="B14" s="1308" t="s">
        <v>454</v>
      </c>
      <c r="C14" s="1309"/>
      <c r="D14" s="1310"/>
      <c r="E14" s="285" t="s">
        <v>388</v>
      </c>
      <c r="F14" s="285">
        <v>2</v>
      </c>
      <c r="G14" s="287">
        <v>2.5</v>
      </c>
      <c r="H14" s="288" t="s">
        <v>389</v>
      </c>
      <c r="I14" s="289">
        <v>1098</v>
      </c>
      <c r="J14" s="290">
        <f t="shared" si="1"/>
        <v>439.2</v>
      </c>
      <c r="K14" s="291">
        <v>2.75</v>
      </c>
      <c r="L14" s="251">
        <f t="shared" si="0"/>
        <v>2415.6</v>
      </c>
    </row>
    <row r="15" spans="1:12" ht="12.75">
      <c r="A15" s="346" t="s">
        <v>455</v>
      </c>
      <c r="B15" s="1308" t="s">
        <v>398</v>
      </c>
      <c r="C15" s="1309"/>
      <c r="D15" s="1310"/>
      <c r="E15" s="285" t="s">
        <v>388</v>
      </c>
      <c r="F15" s="285">
        <v>4</v>
      </c>
      <c r="G15" s="287">
        <v>3</v>
      </c>
      <c r="H15" s="288" t="s">
        <v>389</v>
      </c>
      <c r="I15" s="289">
        <v>1098</v>
      </c>
      <c r="J15" s="290">
        <f t="shared" si="1"/>
        <v>366</v>
      </c>
      <c r="K15" s="291">
        <v>2.4500000000000002</v>
      </c>
      <c r="L15" s="251">
        <f t="shared" si="0"/>
        <v>3586.8</v>
      </c>
    </row>
    <row r="16" spans="1:12" ht="12.75">
      <c r="A16" s="300"/>
      <c r="B16" s="301"/>
      <c r="C16" s="302"/>
      <c r="D16" s="303"/>
      <c r="E16" s="304"/>
      <c r="F16" s="304"/>
      <c r="G16" s="253"/>
      <c r="H16" s="305"/>
      <c r="I16" s="306"/>
      <c r="J16" s="307"/>
      <c r="K16" s="308"/>
      <c r="L16" s="292"/>
    </row>
    <row r="17" spans="1:12" ht="13.5" customHeight="1">
      <c r="A17" s="1307" t="s">
        <v>325</v>
      </c>
      <c r="B17" s="1307"/>
      <c r="C17" s="1307"/>
      <c r="D17" s="1307"/>
      <c r="E17" s="1307"/>
      <c r="F17" s="1307"/>
      <c r="G17" s="1307"/>
      <c r="H17" s="1307"/>
      <c r="I17" s="1307"/>
      <c r="J17" s="1307"/>
      <c r="K17" s="1307"/>
      <c r="L17" s="278">
        <f>SUM(L6:L16)</f>
        <v>45816.664285714294</v>
      </c>
    </row>
    <row r="18" spans="1:12">
      <c r="A18" s="1294" t="s">
        <v>271</v>
      </c>
      <c r="B18" s="1294"/>
      <c r="C18" s="1294"/>
      <c r="D18" s="1294"/>
      <c r="E18" s="1294"/>
      <c r="F18" s="1294"/>
      <c r="G18" s="1294"/>
      <c r="H18" s="1294"/>
      <c r="I18" s="1294"/>
      <c r="J18" s="1294"/>
      <c r="K18" s="1294"/>
      <c r="L18" s="279">
        <f>L17*0.267</f>
        <v>12233.049364285716</v>
      </c>
    </row>
    <row r="19" spans="1:12">
      <c r="A19" s="1294" t="s">
        <v>272</v>
      </c>
      <c r="B19" s="1294"/>
      <c r="C19" s="1294"/>
      <c r="D19" s="1294"/>
      <c r="E19" s="1294"/>
      <c r="F19" s="1294"/>
      <c r="G19" s="1294"/>
      <c r="H19" s="1294"/>
      <c r="I19" s="1294"/>
      <c r="J19" s="1294"/>
      <c r="K19" s="1294"/>
      <c r="L19" s="293">
        <f>L18+L17</f>
        <v>58049.713650000012</v>
      </c>
    </row>
    <row r="20" spans="1:12">
      <c r="A20" s="1294" t="s">
        <v>376</v>
      </c>
      <c r="B20" s="1294"/>
      <c r="C20" s="1294"/>
      <c r="D20" s="1294"/>
      <c r="E20" s="1294"/>
      <c r="F20" s="1294"/>
      <c r="G20" s="1294"/>
      <c r="H20" s="1294"/>
      <c r="I20" s="1294"/>
      <c r="J20" s="1294"/>
      <c r="K20" s="1294"/>
      <c r="L20" s="280">
        <f>L19/2</f>
        <v>29024.856825000006</v>
      </c>
    </row>
    <row r="21" spans="1:12">
      <c r="A21" s="1294" t="s">
        <v>377</v>
      </c>
      <c r="B21" s="1294"/>
      <c r="C21" s="1294"/>
      <c r="D21" s="1294"/>
      <c r="E21" s="1294"/>
      <c r="F21" s="1294"/>
      <c r="G21" s="1294"/>
      <c r="H21" s="1294"/>
      <c r="I21" s="1294"/>
      <c r="J21" s="1294"/>
      <c r="K21" s="1294"/>
      <c r="L21" s="280">
        <f>L19/2</f>
        <v>29024.856825000006</v>
      </c>
    </row>
    <row r="22" spans="1:12" ht="13.5" customHeight="1">
      <c r="A22" s="1295" t="s">
        <v>462</v>
      </c>
      <c r="B22" s="1296"/>
      <c r="C22" s="1296"/>
      <c r="D22" s="1296"/>
      <c r="E22" s="1296"/>
      <c r="F22" s="1296"/>
      <c r="G22" s="1296"/>
      <c r="H22" s="1296"/>
      <c r="I22" s="1296"/>
      <c r="J22" s="1296"/>
      <c r="K22" s="1296"/>
      <c r="L22" s="1297"/>
    </row>
    <row r="23" spans="1:12" ht="12.75">
      <c r="A23" s="1298"/>
      <c r="B23" s="1299"/>
      <c r="C23" s="1299"/>
      <c r="D23" s="1299"/>
      <c r="E23" s="1299"/>
      <c r="F23" s="1299"/>
      <c r="G23" s="1299"/>
      <c r="H23" s="1299"/>
      <c r="I23" s="1299"/>
      <c r="J23" s="1299"/>
      <c r="K23" s="1299"/>
      <c r="L23" s="1300"/>
    </row>
  </sheetData>
  <mergeCells count="28">
    <mergeCell ref="B8:D8"/>
    <mergeCell ref="B9:D9"/>
    <mergeCell ref="B10:D10"/>
    <mergeCell ref="K1:L2"/>
    <mergeCell ref="B3:D5"/>
    <mergeCell ref="E3:E5"/>
    <mergeCell ref="F3:F5"/>
    <mergeCell ref="G3:G5"/>
    <mergeCell ref="H3:H5"/>
    <mergeCell ref="I3:I5"/>
    <mergeCell ref="J3:J5"/>
    <mergeCell ref="K3:K5"/>
    <mergeCell ref="A20:K20"/>
    <mergeCell ref="A21:K21"/>
    <mergeCell ref="A22:L23"/>
    <mergeCell ref="A1:J2"/>
    <mergeCell ref="A3:A5"/>
    <mergeCell ref="A17:K17"/>
    <mergeCell ref="A18:K18"/>
    <mergeCell ref="A19:K19"/>
    <mergeCell ref="B11:D11"/>
    <mergeCell ref="B12:D12"/>
    <mergeCell ref="B13:D13"/>
    <mergeCell ref="B14:D14"/>
    <mergeCell ref="B15:D15"/>
    <mergeCell ref="L3:L5"/>
    <mergeCell ref="B6:D6"/>
    <mergeCell ref="B7:D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0" orientation="portrait" r:id="rId1"/>
  <headerFooter>
    <oddFooter>&amp;CEng Darcibel Silva Ramos-Crea-MT04576/D-RN:1201486998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G7" sqref="G7:J24"/>
    </sheetView>
  </sheetViews>
  <sheetFormatPr defaultRowHeight="13.5"/>
  <cols>
    <col min="1" max="1" width="9.140625" style="262"/>
    <col min="2" max="7" width="9.140625" style="263"/>
    <col min="8" max="8" width="9.140625" style="264"/>
    <col min="9" max="11" width="9.140625" style="265"/>
  </cols>
  <sheetData>
    <row r="1" spans="1:11" ht="12.75">
      <c r="A1" s="1234" t="s">
        <v>399</v>
      </c>
      <c r="B1" s="1339"/>
      <c r="C1" s="1339"/>
      <c r="D1" s="1339"/>
      <c r="E1" s="1339"/>
      <c r="F1" s="1339"/>
      <c r="G1" s="1339"/>
      <c r="H1" s="1339"/>
      <c r="I1" s="1339"/>
      <c r="J1" s="1339"/>
      <c r="K1" s="1340"/>
    </row>
    <row r="2" spans="1:11" ht="12.75">
      <c r="A2" s="1341"/>
      <c r="B2" s="1342"/>
      <c r="C2" s="1342"/>
      <c r="D2" s="1342"/>
      <c r="E2" s="1342"/>
      <c r="F2" s="1342"/>
      <c r="G2" s="1342"/>
      <c r="H2" s="1342"/>
      <c r="I2" s="1342"/>
      <c r="J2" s="1342"/>
      <c r="K2" s="1343"/>
    </row>
    <row r="3" spans="1:11" ht="12.75">
      <c r="A3" s="1243" t="s">
        <v>0</v>
      </c>
      <c r="B3" s="1243" t="s">
        <v>261</v>
      </c>
      <c r="C3" s="1235"/>
      <c r="D3" s="1235"/>
      <c r="E3" s="1236"/>
      <c r="F3" s="1241" t="s">
        <v>344</v>
      </c>
      <c r="G3" s="294" t="s">
        <v>400</v>
      </c>
      <c r="H3" s="294" t="s">
        <v>401</v>
      </c>
      <c r="I3" s="294" t="s">
        <v>402</v>
      </c>
      <c r="J3" s="294" t="s">
        <v>403</v>
      </c>
      <c r="K3" s="1349" t="s">
        <v>404</v>
      </c>
    </row>
    <row r="4" spans="1:11" ht="12.75">
      <c r="A4" s="1344"/>
      <c r="B4" s="1344"/>
      <c r="C4" s="1345"/>
      <c r="D4" s="1345"/>
      <c r="E4" s="1346"/>
      <c r="F4" s="1347"/>
      <c r="G4" s="1241" t="s">
        <v>263</v>
      </c>
      <c r="H4" s="1241" t="s">
        <v>405</v>
      </c>
      <c r="I4" s="1247" t="s">
        <v>406</v>
      </c>
      <c r="J4" s="1247" t="s">
        <v>407</v>
      </c>
      <c r="K4" s="1346"/>
    </row>
    <row r="5" spans="1:11" ht="12.75">
      <c r="A5" s="1344"/>
      <c r="B5" s="1344"/>
      <c r="C5" s="1345"/>
      <c r="D5" s="1345"/>
      <c r="E5" s="1346"/>
      <c r="F5" s="1347"/>
      <c r="G5" s="1286"/>
      <c r="H5" s="1286"/>
      <c r="I5" s="1293"/>
      <c r="J5" s="1293"/>
      <c r="K5" s="1346"/>
    </row>
    <row r="6" spans="1:11" ht="12.75">
      <c r="A6" s="1237"/>
      <c r="B6" s="1237"/>
      <c r="C6" s="1238"/>
      <c r="D6" s="1238"/>
      <c r="E6" s="1239"/>
      <c r="F6" s="1348"/>
      <c r="G6" s="1242"/>
      <c r="H6" s="1242"/>
      <c r="I6" s="1248"/>
      <c r="J6" s="1248"/>
      <c r="K6" s="1239"/>
    </row>
    <row r="7" spans="1:11" ht="12.75">
      <c r="A7" s="295" t="s">
        <v>408</v>
      </c>
      <c r="B7" s="1333" t="s">
        <v>409</v>
      </c>
      <c r="C7" s="1334"/>
      <c r="D7" s="1334"/>
      <c r="E7" s="1335"/>
      <c r="F7" s="249" t="s">
        <v>410</v>
      </c>
      <c r="G7" s="296">
        <v>2</v>
      </c>
      <c r="H7" s="297">
        <v>14.75</v>
      </c>
      <c r="I7" s="289">
        <v>1098</v>
      </c>
      <c r="J7" s="298">
        <v>0.63</v>
      </c>
      <c r="K7" s="251">
        <f>J7*I7*H7*G7</f>
        <v>20406.330000000002</v>
      </c>
    </row>
    <row r="8" spans="1:11" ht="12.75">
      <c r="A8" s="295" t="s">
        <v>411</v>
      </c>
      <c r="B8" s="1327" t="s">
        <v>412</v>
      </c>
      <c r="C8" s="1328"/>
      <c r="D8" s="1328"/>
      <c r="E8" s="1329"/>
      <c r="F8" s="249" t="s">
        <v>410</v>
      </c>
      <c r="G8" s="296">
        <v>5</v>
      </c>
      <c r="H8" s="297">
        <v>4.32</v>
      </c>
      <c r="I8" s="289">
        <v>1098</v>
      </c>
      <c r="J8" s="298">
        <v>0.63</v>
      </c>
      <c r="K8" s="251">
        <f t="shared" ref="K8:K25" si="0">J8*I8*H8*G8</f>
        <v>14941.584000000001</v>
      </c>
    </row>
    <row r="9" spans="1:11" ht="12.75">
      <c r="A9" s="295" t="s">
        <v>413</v>
      </c>
      <c r="B9" s="1327" t="s">
        <v>414</v>
      </c>
      <c r="C9" s="1328"/>
      <c r="D9" s="1328"/>
      <c r="E9" s="1329"/>
      <c r="F9" s="249" t="s">
        <v>410</v>
      </c>
      <c r="G9" s="296">
        <v>2</v>
      </c>
      <c r="H9" s="297">
        <v>16.562999999999999</v>
      </c>
      <c r="I9" s="289">
        <v>1098</v>
      </c>
      <c r="J9" s="298">
        <v>0.63</v>
      </c>
      <c r="K9" s="251">
        <f t="shared" si="0"/>
        <v>22914.579239999999</v>
      </c>
    </row>
    <row r="10" spans="1:11" ht="12.75">
      <c r="A10" s="295" t="s">
        <v>415</v>
      </c>
      <c r="B10" s="1327" t="s">
        <v>416</v>
      </c>
      <c r="C10" s="1328"/>
      <c r="D10" s="1328"/>
      <c r="E10" s="1329"/>
      <c r="F10" s="249" t="s">
        <v>410</v>
      </c>
      <c r="G10" s="296">
        <v>2</v>
      </c>
      <c r="H10" s="297">
        <v>5.65</v>
      </c>
      <c r="I10" s="289">
        <v>1098</v>
      </c>
      <c r="J10" s="298">
        <v>0.63</v>
      </c>
      <c r="K10" s="251">
        <f t="shared" si="0"/>
        <v>7816.6620000000003</v>
      </c>
    </row>
    <row r="11" spans="1:11">
      <c r="A11" s="295" t="s">
        <v>417</v>
      </c>
      <c r="B11" s="1336" t="s">
        <v>418</v>
      </c>
      <c r="C11" s="1337"/>
      <c r="D11" s="1337"/>
      <c r="E11" s="1338"/>
      <c r="F11" s="249" t="s">
        <v>410</v>
      </c>
      <c r="G11" s="296">
        <v>15</v>
      </c>
      <c r="H11" s="297">
        <v>11.25</v>
      </c>
      <c r="I11" s="289">
        <v>1098</v>
      </c>
      <c r="J11" s="298">
        <v>0.63</v>
      </c>
      <c r="K11" s="251">
        <f t="shared" si="0"/>
        <v>116731.125</v>
      </c>
    </row>
    <row r="12" spans="1:11" ht="12.75">
      <c r="A12" s="295" t="s">
        <v>419</v>
      </c>
      <c r="B12" s="1327" t="s">
        <v>420</v>
      </c>
      <c r="C12" s="1328"/>
      <c r="D12" s="1328"/>
      <c r="E12" s="1329"/>
      <c r="F12" s="249" t="s">
        <v>410</v>
      </c>
      <c r="G12" s="296">
        <v>2</v>
      </c>
      <c r="H12" s="297">
        <v>13.234</v>
      </c>
      <c r="I12" s="289">
        <v>1098</v>
      </c>
      <c r="J12" s="298">
        <v>0.63</v>
      </c>
      <c r="K12" s="251">
        <f t="shared" si="0"/>
        <v>18308.974320000001</v>
      </c>
    </row>
    <row r="13" spans="1:11" ht="12.75">
      <c r="A13" s="295" t="s">
        <v>421</v>
      </c>
      <c r="B13" s="1327" t="s">
        <v>422</v>
      </c>
      <c r="C13" s="1328"/>
      <c r="D13" s="1328"/>
      <c r="E13" s="1329"/>
      <c r="F13" s="249" t="s">
        <v>410</v>
      </c>
      <c r="G13" s="296">
        <v>1</v>
      </c>
      <c r="H13" s="297">
        <v>8.5530000000000008</v>
      </c>
      <c r="I13" s="289">
        <v>1098</v>
      </c>
      <c r="J13" s="298">
        <v>0.63</v>
      </c>
      <c r="K13" s="251">
        <f t="shared" si="0"/>
        <v>5916.452220000001</v>
      </c>
    </row>
    <row r="14" spans="1:11" ht="12.75">
      <c r="A14" s="295" t="s">
        <v>423</v>
      </c>
      <c r="B14" s="1327" t="s">
        <v>424</v>
      </c>
      <c r="C14" s="1328"/>
      <c r="D14" s="1328"/>
      <c r="E14" s="1329"/>
      <c r="F14" s="249" t="s">
        <v>410</v>
      </c>
      <c r="G14" s="296">
        <v>4</v>
      </c>
      <c r="H14" s="297">
        <v>31.58</v>
      </c>
      <c r="I14" s="289">
        <v>1098</v>
      </c>
      <c r="J14" s="298">
        <v>0.63</v>
      </c>
      <c r="K14" s="251">
        <f t="shared" si="0"/>
        <v>87380.596799999999</v>
      </c>
    </row>
    <row r="15" spans="1:11" ht="12.75">
      <c r="A15" s="295" t="s">
        <v>425</v>
      </c>
      <c r="B15" s="1327" t="s">
        <v>426</v>
      </c>
      <c r="C15" s="1328"/>
      <c r="D15" s="1328"/>
      <c r="E15" s="1329"/>
      <c r="F15" s="249" t="s">
        <v>410</v>
      </c>
      <c r="G15" s="296">
        <v>5</v>
      </c>
      <c r="H15" s="299">
        <v>1.8839999999999999</v>
      </c>
      <c r="I15" s="289">
        <v>1098</v>
      </c>
      <c r="J15" s="298">
        <v>0.63</v>
      </c>
      <c r="K15" s="251">
        <f t="shared" si="0"/>
        <v>6516.1907999999994</v>
      </c>
    </row>
    <row r="16" spans="1:11" ht="12.75">
      <c r="A16" s="295" t="s">
        <v>427</v>
      </c>
      <c r="B16" s="1327" t="s">
        <v>428</v>
      </c>
      <c r="C16" s="1328"/>
      <c r="D16" s="1328"/>
      <c r="E16" s="1329"/>
      <c r="F16" s="249" t="s">
        <v>410</v>
      </c>
      <c r="G16" s="296">
        <v>2</v>
      </c>
      <c r="H16" s="297">
        <v>10.9</v>
      </c>
      <c r="I16" s="289">
        <v>1098</v>
      </c>
      <c r="J16" s="298">
        <v>0.63</v>
      </c>
      <c r="K16" s="251">
        <f t="shared" si="0"/>
        <v>15079.932000000001</v>
      </c>
    </row>
    <row r="17" spans="1:11" ht="12.75">
      <c r="A17" s="295" t="s">
        <v>429</v>
      </c>
      <c r="B17" s="1327" t="s">
        <v>430</v>
      </c>
      <c r="C17" s="1328"/>
      <c r="D17" s="1328"/>
      <c r="E17" s="1329"/>
      <c r="F17" s="249" t="s">
        <v>410</v>
      </c>
      <c r="G17" s="296">
        <v>2</v>
      </c>
      <c r="H17" s="299">
        <v>25</v>
      </c>
      <c r="I17" s="289">
        <v>1098</v>
      </c>
      <c r="J17" s="298">
        <v>0.63</v>
      </c>
      <c r="K17" s="251">
        <f t="shared" si="0"/>
        <v>34587</v>
      </c>
    </row>
    <row r="18" spans="1:11" ht="12.75">
      <c r="A18" s="295" t="s">
        <v>431</v>
      </c>
      <c r="B18" s="1327" t="s">
        <v>432</v>
      </c>
      <c r="C18" s="1328"/>
      <c r="D18" s="1328"/>
      <c r="E18" s="1329"/>
      <c r="F18" s="249" t="s">
        <v>410</v>
      </c>
      <c r="G18" s="296">
        <v>2</v>
      </c>
      <c r="H18" s="299">
        <v>0.82</v>
      </c>
      <c r="I18" s="289">
        <v>1098</v>
      </c>
      <c r="J18" s="298">
        <v>0.63</v>
      </c>
      <c r="K18" s="251">
        <f t="shared" si="0"/>
        <v>1134.4536000000001</v>
      </c>
    </row>
    <row r="19" spans="1:11" ht="12.75">
      <c r="A19" s="295" t="s">
        <v>433</v>
      </c>
      <c r="B19" s="1327" t="s">
        <v>434</v>
      </c>
      <c r="C19" s="1328"/>
      <c r="D19" s="1328"/>
      <c r="E19" s="1329"/>
      <c r="F19" s="249" t="s">
        <v>410</v>
      </c>
      <c r="G19" s="296">
        <v>2</v>
      </c>
      <c r="H19" s="299">
        <v>1.2</v>
      </c>
      <c r="I19" s="289">
        <v>1098</v>
      </c>
      <c r="J19" s="298">
        <v>0.63</v>
      </c>
      <c r="K19" s="251">
        <f t="shared" si="0"/>
        <v>1660.1759999999999</v>
      </c>
    </row>
    <row r="20" spans="1:11" ht="12.75">
      <c r="A20" s="295" t="s">
        <v>435</v>
      </c>
      <c r="B20" s="1327" t="s">
        <v>436</v>
      </c>
      <c r="C20" s="1328"/>
      <c r="D20" s="1328"/>
      <c r="E20" s="1329"/>
      <c r="F20" s="249" t="s">
        <v>410</v>
      </c>
      <c r="G20" s="296">
        <v>4</v>
      </c>
      <c r="H20" s="299">
        <v>2.9</v>
      </c>
      <c r="I20" s="289">
        <v>1098</v>
      </c>
      <c r="J20" s="298">
        <v>0.63</v>
      </c>
      <c r="K20" s="251">
        <f t="shared" si="0"/>
        <v>8024.1840000000002</v>
      </c>
    </row>
    <row r="21" spans="1:11" ht="12.75">
      <c r="A21" s="295" t="s">
        <v>437</v>
      </c>
      <c r="B21" s="1330" t="s">
        <v>438</v>
      </c>
      <c r="C21" s="1331"/>
      <c r="D21" s="1331"/>
      <c r="E21" s="1332"/>
      <c r="F21" s="249" t="s">
        <v>410</v>
      </c>
      <c r="G21" s="296">
        <v>2</v>
      </c>
      <c r="H21" s="299">
        <v>4.9000000000000004</v>
      </c>
      <c r="I21" s="289">
        <v>1098</v>
      </c>
      <c r="J21" s="298">
        <v>0.63</v>
      </c>
      <c r="K21" s="251">
        <f t="shared" si="0"/>
        <v>6779.0520000000006</v>
      </c>
    </row>
    <row r="22" spans="1:11" ht="12.75">
      <c r="A22" s="295" t="s">
        <v>439</v>
      </c>
      <c r="B22" s="1330" t="s">
        <v>440</v>
      </c>
      <c r="C22" s="1331"/>
      <c r="D22" s="1331"/>
      <c r="E22" s="1332"/>
      <c r="F22" s="249" t="s">
        <v>410</v>
      </c>
      <c r="G22" s="296">
        <v>2</v>
      </c>
      <c r="H22" s="299">
        <v>1.1000000000000001</v>
      </c>
      <c r="I22" s="289">
        <v>1098</v>
      </c>
      <c r="J22" s="298">
        <v>0.63</v>
      </c>
      <c r="K22" s="251">
        <f t="shared" si="0"/>
        <v>1521.8280000000002</v>
      </c>
    </row>
    <row r="23" spans="1:11" ht="12.75">
      <c r="A23" s="295" t="s">
        <v>441</v>
      </c>
      <c r="B23" s="1327" t="s">
        <v>442</v>
      </c>
      <c r="C23" s="1328"/>
      <c r="D23" s="1328"/>
      <c r="E23" s="1329"/>
      <c r="F23" s="249" t="s">
        <v>410</v>
      </c>
      <c r="G23" s="296">
        <v>3</v>
      </c>
      <c r="H23" s="299">
        <v>0.5</v>
      </c>
      <c r="I23" s="289">
        <v>1098</v>
      </c>
      <c r="J23" s="298">
        <v>0.63</v>
      </c>
      <c r="K23" s="251">
        <f t="shared" si="0"/>
        <v>1037.6100000000001</v>
      </c>
    </row>
    <row r="24" spans="1:11" ht="12.75">
      <c r="A24" s="295" t="s">
        <v>443</v>
      </c>
      <c r="B24" s="1327" t="s">
        <v>444</v>
      </c>
      <c r="C24" s="1328"/>
      <c r="D24" s="1328"/>
      <c r="E24" s="1329"/>
      <c r="F24" s="249" t="s">
        <v>410</v>
      </c>
      <c r="G24" s="296">
        <v>2</v>
      </c>
      <c r="H24" s="299">
        <v>0.1</v>
      </c>
      <c r="I24" s="289">
        <v>1098</v>
      </c>
      <c r="J24" s="298">
        <v>0.63</v>
      </c>
      <c r="K24" s="251">
        <f t="shared" si="0"/>
        <v>138.34800000000001</v>
      </c>
    </row>
    <row r="25" spans="1:11" ht="12.75">
      <c r="A25" s="295" t="s">
        <v>445</v>
      </c>
      <c r="B25" s="1327" t="s">
        <v>446</v>
      </c>
      <c r="C25" s="1328"/>
      <c r="D25" s="1328"/>
      <c r="E25" s="1329"/>
      <c r="F25" s="249" t="s">
        <v>410</v>
      </c>
      <c r="G25" s="296">
        <v>2</v>
      </c>
      <c r="H25" s="299">
        <v>0.18</v>
      </c>
      <c r="I25" s="289">
        <v>1098</v>
      </c>
      <c r="J25" s="298">
        <v>0.63</v>
      </c>
      <c r="K25" s="251">
        <f t="shared" si="0"/>
        <v>249.0264</v>
      </c>
    </row>
    <row r="26" spans="1:11" ht="12.75">
      <c r="A26" s="295"/>
      <c r="B26" s="1327"/>
      <c r="C26" s="1328"/>
      <c r="D26" s="1328"/>
      <c r="E26" s="1329"/>
      <c r="F26" s="249"/>
      <c r="G26" s="296"/>
      <c r="H26" s="299"/>
      <c r="I26" s="289"/>
      <c r="J26" s="298"/>
      <c r="K26" s="251"/>
    </row>
    <row r="27" spans="1:11" ht="12.75">
      <c r="A27" s="295"/>
      <c r="B27" s="1327"/>
      <c r="C27" s="1328"/>
      <c r="D27" s="1328"/>
      <c r="E27" s="1329"/>
      <c r="F27" s="249"/>
      <c r="G27" s="296"/>
      <c r="H27" s="299"/>
      <c r="I27" s="289"/>
      <c r="J27" s="298"/>
      <c r="K27" s="251"/>
    </row>
    <row r="28" spans="1:11" ht="12.75">
      <c r="A28" s="252"/>
      <c r="B28" s="1315"/>
      <c r="C28" s="1316"/>
      <c r="D28" s="1316"/>
      <c r="E28" s="1317"/>
      <c r="F28" s="276"/>
      <c r="G28" s="276"/>
      <c r="H28" s="276"/>
      <c r="I28" s="276"/>
      <c r="J28" s="251"/>
      <c r="K28" s="251"/>
    </row>
    <row r="29" spans="1:11" ht="12.75">
      <c r="A29" s="1273" t="s">
        <v>447</v>
      </c>
      <c r="B29" s="1321"/>
      <c r="C29" s="1321"/>
      <c r="D29" s="1321"/>
      <c r="E29" s="1321"/>
      <c r="F29" s="1321"/>
      <c r="G29" s="1321"/>
      <c r="H29" s="1321"/>
      <c r="I29" s="1321"/>
      <c r="J29" s="1322"/>
      <c r="K29" s="278">
        <f>SUM(K7:K28)</f>
        <v>371144.10437999992</v>
      </c>
    </row>
    <row r="30" spans="1:11">
      <c r="A30" s="1294" t="s">
        <v>271</v>
      </c>
      <c r="B30" s="1294"/>
      <c r="C30" s="1294"/>
      <c r="D30" s="1294"/>
      <c r="E30" s="1294"/>
      <c r="F30" s="1294"/>
      <c r="G30" s="1294"/>
      <c r="H30" s="1294"/>
      <c r="I30" s="1294"/>
      <c r="J30" s="1294"/>
      <c r="K30" s="279">
        <f>K29*0.267</f>
        <v>99095.475869459988</v>
      </c>
    </row>
    <row r="31" spans="1:11">
      <c r="A31" s="1294" t="s">
        <v>272</v>
      </c>
      <c r="B31" s="1294"/>
      <c r="C31" s="1294"/>
      <c r="D31" s="1294"/>
      <c r="E31" s="1294"/>
      <c r="F31" s="1294"/>
      <c r="G31" s="1294"/>
      <c r="H31" s="1294"/>
      <c r="I31" s="1294"/>
      <c r="J31" s="1294"/>
      <c r="K31" s="280">
        <f>SUM(K30,K29)</f>
        <v>470239.58024945989</v>
      </c>
    </row>
    <row r="32" spans="1:11">
      <c r="A32" s="1294" t="s">
        <v>376</v>
      </c>
      <c r="B32" s="1294"/>
      <c r="C32" s="1294"/>
      <c r="D32" s="1294"/>
      <c r="E32" s="1294"/>
      <c r="F32" s="1294"/>
      <c r="G32" s="1294"/>
      <c r="H32" s="1294"/>
      <c r="I32" s="1323"/>
      <c r="J32" s="1323"/>
      <c r="K32" s="280">
        <f>K31/2</f>
        <v>235119.79012472995</v>
      </c>
    </row>
    <row r="33" spans="1:11">
      <c r="A33" s="1294" t="s">
        <v>377</v>
      </c>
      <c r="B33" s="1294"/>
      <c r="C33" s="1294"/>
      <c r="D33" s="1294"/>
      <c r="E33" s="1294"/>
      <c r="F33" s="1294"/>
      <c r="G33" s="1294"/>
      <c r="H33" s="1294"/>
      <c r="I33" s="1323"/>
      <c r="J33" s="1323"/>
      <c r="K33" s="280">
        <f>K31/2</f>
        <v>235119.79012472995</v>
      </c>
    </row>
    <row r="34" spans="1:11" ht="12.75">
      <c r="A34" s="1324" t="s">
        <v>449</v>
      </c>
      <c r="B34" s="1325"/>
      <c r="C34" s="1325"/>
      <c r="D34" s="1325"/>
      <c r="E34" s="1325"/>
      <c r="F34" s="1325"/>
      <c r="G34" s="1325"/>
      <c r="H34" s="1325"/>
      <c r="I34" s="1325"/>
      <c r="J34" s="1325"/>
      <c r="K34" s="1326"/>
    </row>
    <row r="35" spans="1:11" ht="12.75">
      <c r="A35" s="1318" t="s">
        <v>448</v>
      </c>
      <c r="B35" s="1319"/>
      <c r="C35" s="1319"/>
      <c r="D35" s="1319"/>
      <c r="E35" s="1319"/>
      <c r="F35" s="1319"/>
      <c r="G35" s="1319"/>
      <c r="H35" s="1319"/>
      <c r="I35" s="1319"/>
      <c r="J35" s="1319"/>
      <c r="K35" s="1320"/>
    </row>
  </sheetData>
  <mergeCells count="38">
    <mergeCell ref="A1:K2"/>
    <mergeCell ref="A3:A6"/>
    <mergeCell ref="B3:E6"/>
    <mergeCell ref="F3:F6"/>
    <mergeCell ref="K3:K6"/>
    <mergeCell ref="G4:G6"/>
    <mergeCell ref="H4:H6"/>
    <mergeCell ref="I4:I6"/>
    <mergeCell ref="J4:J6"/>
    <mergeCell ref="B17:E17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A35:K35"/>
    <mergeCell ref="A29:J29"/>
    <mergeCell ref="A30:J30"/>
    <mergeCell ref="A31:J31"/>
    <mergeCell ref="A32:J32"/>
    <mergeCell ref="A33:J33"/>
    <mergeCell ref="A34:K34"/>
  </mergeCells>
  <pageMargins left="0.51181102362204722" right="0.51181102362204722" top="0.78740157480314965" bottom="0.78740157480314965" header="0.31496062992125984" footer="0.31496062992125984"/>
  <pageSetup paperSize="9" scale="90" orientation="portrait" r:id="rId1"/>
  <headerFooter>
    <oddFooter>&amp;CEng Darcibel Silva Ramos-Crea-MT04576/D-RN:1201486998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opLeftCell="A52" workbookViewId="0">
      <selection activeCell="B68" sqref="B68"/>
    </sheetView>
  </sheetViews>
  <sheetFormatPr defaultRowHeight="12.75"/>
  <cols>
    <col min="1" max="1" width="13.7109375" style="853" customWidth="1"/>
    <col min="2" max="2" width="68.5703125" style="853" customWidth="1"/>
    <col min="3" max="3" width="12.5703125" style="853" customWidth="1"/>
    <col min="4" max="4" width="15.140625" style="854" customWidth="1"/>
  </cols>
  <sheetData>
    <row r="1" spans="1:6" ht="27.75" customHeight="1">
      <c r="A1" s="1354" t="s">
        <v>877</v>
      </c>
      <c r="B1" s="1354"/>
      <c r="C1" s="1355" t="s">
        <v>879</v>
      </c>
      <c r="D1" s="1355"/>
    </row>
    <row r="2" spans="1:6" ht="7.5" customHeight="1">
      <c r="A2" s="1356"/>
      <c r="B2" s="1356"/>
      <c r="C2" s="1356"/>
      <c r="D2" s="1356"/>
    </row>
    <row r="3" spans="1:6">
      <c r="A3" s="855" t="s">
        <v>477</v>
      </c>
      <c r="B3" s="1357" t="s">
        <v>835</v>
      </c>
      <c r="C3" s="1358"/>
      <c r="D3" s="1359"/>
    </row>
    <row r="4" spans="1:6">
      <c r="A4" s="809" t="s">
        <v>478</v>
      </c>
      <c r="B4" s="1360" t="s">
        <v>836</v>
      </c>
      <c r="C4" s="1361"/>
      <c r="D4" s="1362"/>
      <c r="F4" s="443"/>
    </row>
    <row r="5" spans="1:6">
      <c r="A5" s="810" t="s">
        <v>505</v>
      </c>
      <c r="B5" s="1360" t="s">
        <v>837</v>
      </c>
      <c r="C5" s="1361"/>
      <c r="D5" s="1362"/>
    </row>
    <row r="6" spans="1:6">
      <c r="A6" s="809" t="s">
        <v>479</v>
      </c>
      <c r="B6" s="1360" t="s">
        <v>903</v>
      </c>
      <c r="C6" s="1361"/>
      <c r="D6" s="1362"/>
    </row>
    <row r="7" spans="1:6">
      <c r="A7" s="809" t="s">
        <v>838</v>
      </c>
      <c r="B7" s="1360" t="s">
        <v>839</v>
      </c>
      <c r="C7" s="1361"/>
      <c r="D7" s="1362"/>
    </row>
    <row r="8" spans="1:6">
      <c r="A8" s="1350" t="s">
        <v>840</v>
      </c>
      <c r="B8" s="1351" t="s">
        <v>2</v>
      </c>
      <c r="C8" s="1352" t="s">
        <v>3</v>
      </c>
      <c r="D8" s="1353" t="s">
        <v>652</v>
      </c>
    </row>
    <row r="9" spans="1:6">
      <c r="A9" s="1350"/>
      <c r="B9" s="1351"/>
      <c r="C9" s="1352"/>
      <c r="D9" s="1353"/>
    </row>
    <row r="10" spans="1:6">
      <c r="A10" s="812" t="s">
        <v>748</v>
      </c>
      <c r="B10" s="813" t="s">
        <v>8</v>
      </c>
      <c r="C10" s="814"/>
      <c r="D10" s="815"/>
    </row>
    <row r="11" spans="1:6">
      <c r="A11" s="816" t="s">
        <v>136</v>
      </c>
      <c r="B11" s="817" t="s">
        <v>841</v>
      </c>
      <c r="C11" s="98" t="s">
        <v>516</v>
      </c>
      <c r="D11" s="818">
        <v>1</v>
      </c>
    </row>
    <row r="12" spans="1:6">
      <c r="A12" s="816" t="s">
        <v>137</v>
      </c>
      <c r="B12" s="817" t="s">
        <v>40</v>
      </c>
      <c r="C12" s="98" t="s">
        <v>516</v>
      </c>
      <c r="D12" s="818">
        <v>1</v>
      </c>
    </row>
    <row r="13" spans="1:6">
      <c r="A13" s="816" t="s">
        <v>138</v>
      </c>
      <c r="B13" s="817" t="s">
        <v>185</v>
      </c>
      <c r="C13" s="98" t="s">
        <v>516</v>
      </c>
      <c r="D13" s="818">
        <v>1</v>
      </c>
    </row>
    <row r="14" spans="1:6">
      <c r="A14" s="816" t="s">
        <v>842</v>
      </c>
      <c r="B14" s="817" t="s">
        <v>41</v>
      </c>
      <c r="C14" s="98" t="s">
        <v>516</v>
      </c>
      <c r="D14" s="818">
        <v>1</v>
      </c>
    </row>
    <row r="15" spans="1:6">
      <c r="A15" s="819" t="s">
        <v>513</v>
      </c>
      <c r="B15" s="820" t="s">
        <v>843</v>
      </c>
      <c r="C15" s="821" t="s">
        <v>73</v>
      </c>
      <c r="D15" s="818">
        <v>25</v>
      </c>
    </row>
    <row r="16" spans="1:6">
      <c r="A16" s="819" t="s">
        <v>514</v>
      </c>
      <c r="B16" s="820" t="s">
        <v>515</v>
      </c>
      <c r="C16" s="98" t="s">
        <v>516</v>
      </c>
      <c r="D16" s="818">
        <v>1</v>
      </c>
    </row>
    <row r="17" spans="1:4">
      <c r="A17" s="819" t="s">
        <v>907</v>
      </c>
      <c r="B17" s="820" t="s">
        <v>561</v>
      </c>
      <c r="C17" s="98" t="s">
        <v>44</v>
      </c>
      <c r="D17" s="818">
        <v>12</v>
      </c>
    </row>
    <row r="18" spans="1:4">
      <c r="A18" s="819"/>
      <c r="B18" s="820"/>
      <c r="C18" s="821"/>
      <c r="D18" s="818"/>
    </row>
    <row r="19" spans="1:4">
      <c r="A19" s="812" t="s">
        <v>749</v>
      </c>
      <c r="B19" s="813" t="s">
        <v>21</v>
      </c>
      <c r="C19" s="821"/>
      <c r="D19" s="818"/>
    </row>
    <row r="20" spans="1:4">
      <c r="A20" s="917" t="s">
        <v>148</v>
      </c>
      <c r="B20" s="918" t="s">
        <v>844</v>
      </c>
      <c r="C20" s="919" t="s">
        <v>73</v>
      </c>
      <c r="D20" s="920">
        <f>'Desmat dest e limp até 15 READ'!L16</f>
        <v>62415.837999999996</v>
      </c>
    </row>
    <row r="21" spans="1:4">
      <c r="A21" s="840" t="s">
        <v>646</v>
      </c>
      <c r="B21" s="921" t="s">
        <v>647</v>
      </c>
      <c r="C21" s="842" t="s">
        <v>695</v>
      </c>
      <c r="D21" s="920">
        <f>'DESMATAMENTO ATÉ 0,30 E &gt;0,30'!E22</f>
        <v>3</v>
      </c>
    </row>
    <row r="22" spans="1:4">
      <c r="A22" s="816" t="s">
        <v>74</v>
      </c>
      <c r="B22" s="817" t="s">
        <v>845</v>
      </c>
      <c r="C22" s="821" t="s">
        <v>65</v>
      </c>
      <c r="D22" s="827">
        <v>87.665000000000006</v>
      </c>
    </row>
    <row r="23" spans="1:4">
      <c r="A23" s="816" t="s">
        <v>235</v>
      </c>
      <c r="B23" s="817" t="s">
        <v>846</v>
      </c>
      <c r="C23" s="821" t="s">
        <v>65</v>
      </c>
      <c r="D23" s="827">
        <v>29824.28</v>
      </c>
    </row>
    <row r="24" spans="1:4">
      <c r="A24" s="816" t="s">
        <v>236</v>
      </c>
      <c r="B24" s="817" t="s">
        <v>847</v>
      </c>
      <c r="C24" s="821" t="s">
        <v>65</v>
      </c>
      <c r="D24" s="827">
        <v>9089.8209999999999</v>
      </c>
    </row>
    <row r="25" spans="1:4">
      <c r="A25" s="816" t="s">
        <v>237</v>
      </c>
      <c r="B25" s="817" t="s">
        <v>848</v>
      </c>
      <c r="C25" s="821" t="s">
        <v>65</v>
      </c>
      <c r="D25" s="827">
        <v>2466.2480000000069</v>
      </c>
    </row>
    <row r="26" spans="1:4">
      <c r="A26" s="816" t="s">
        <v>238</v>
      </c>
      <c r="B26" s="817" t="s">
        <v>849</v>
      </c>
      <c r="C26" s="821" t="s">
        <v>65</v>
      </c>
      <c r="D26" s="827">
        <v>1765.3040000000001</v>
      </c>
    </row>
    <row r="27" spans="1:4">
      <c r="A27" s="828" t="s">
        <v>239</v>
      </c>
      <c r="B27" s="99" t="s">
        <v>634</v>
      </c>
      <c r="C27" s="98" t="s">
        <v>65</v>
      </c>
      <c r="D27" s="827">
        <v>93.54</v>
      </c>
    </row>
    <row r="28" spans="1:4">
      <c r="A28" s="828" t="s">
        <v>243</v>
      </c>
      <c r="B28" s="99" t="s">
        <v>517</v>
      </c>
      <c r="C28" s="98" t="s">
        <v>65</v>
      </c>
      <c r="D28" s="827">
        <v>9608.0820000000003</v>
      </c>
    </row>
    <row r="29" spans="1:4">
      <c r="A29" s="816" t="s">
        <v>76</v>
      </c>
      <c r="B29" s="817" t="s">
        <v>518</v>
      </c>
      <c r="C29" s="821" t="s">
        <v>65</v>
      </c>
      <c r="D29" s="823">
        <f>SUM(D22:D28)/1.2</f>
        <v>44112.450000000019</v>
      </c>
    </row>
    <row r="30" spans="1:4">
      <c r="A30" s="816"/>
      <c r="B30" s="817"/>
      <c r="C30" s="821"/>
      <c r="D30" s="818"/>
    </row>
    <row r="31" spans="1:4">
      <c r="A31" s="812" t="s">
        <v>750</v>
      </c>
      <c r="B31" s="813" t="s">
        <v>15</v>
      </c>
      <c r="C31" s="822"/>
      <c r="D31" s="818"/>
    </row>
    <row r="32" spans="1:4">
      <c r="A32" s="829" t="s">
        <v>77</v>
      </c>
      <c r="B32" s="817" t="s">
        <v>519</v>
      </c>
      <c r="C32" s="822" t="s">
        <v>73</v>
      </c>
      <c r="D32" s="818">
        <f>'QTDADE PAV'!V23</f>
        <v>43258.45</v>
      </c>
    </row>
    <row r="33" spans="1:5">
      <c r="A33" s="829" t="s">
        <v>906</v>
      </c>
      <c r="B33" s="817" t="s">
        <v>850</v>
      </c>
      <c r="C33" s="822" t="s">
        <v>65</v>
      </c>
      <c r="D33" s="818">
        <f>'QTDADE PAV'!W23</f>
        <v>8651.6899999999987</v>
      </c>
    </row>
    <row r="34" spans="1:5">
      <c r="A34" s="829" t="s">
        <v>906</v>
      </c>
      <c r="B34" s="817" t="s">
        <v>851</v>
      </c>
      <c r="C34" s="822" t="s">
        <v>65</v>
      </c>
      <c r="D34" s="818">
        <f>'QTDADE PAV'!X23</f>
        <v>8299.52</v>
      </c>
    </row>
    <row r="35" spans="1:5">
      <c r="A35" s="829" t="s">
        <v>80</v>
      </c>
      <c r="B35" s="817" t="s">
        <v>36</v>
      </c>
      <c r="C35" s="822" t="s">
        <v>73</v>
      </c>
      <c r="D35" s="818">
        <f>'QTDADE PAV'!Y23</f>
        <v>34788.699999999997</v>
      </c>
    </row>
    <row r="36" spans="1:5">
      <c r="A36" s="829" t="s">
        <v>520</v>
      </c>
      <c r="B36" s="817" t="s">
        <v>852</v>
      </c>
      <c r="C36" s="822" t="s">
        <v>73</v>
      </c>
      <c r="D36" s="818">
        <f>'QTDADE PAV'!AA23</f>
        <v>5800</v>
      </c>
    </row>
    <row r="37" spans="1:5">
      <c r="A37" s="829" t="s">
        <v>521</v>
      </c>
      <c r="B37" s="817" t="s">
        <v>853</v>
      </c>
      <c r="C37" s="822" t="s">
        <v>73</v>
      </c>
      <c r="D37" s="818">
        <f>'QTDADE PAV'!Z23</f>
        <v>28988.7</v>
      </c>
    </row>
    <row r="38" spans="1:5">
      <c r="A38" s="829" t="s">
        <v>82</v>
      </c>
      <c r="B38" s="820" t="s">
        <v>522</v>
      </c>
      <c r="C38" s="821" t="s">
        <v>37</v>
      </c>
      <c r="D38" s="818">
        <f>D35*0.0012</f>
        <v>41.746439999999993</v>
      </c>
      <c r="E38" s="901"/>
    </row>
    <row r="39" spans="1:5">
      <c r="A39" s="829" t="s">
        <v>83</v>
      </c>
      <c r="B39" s="820" t="s">
        <v>854</v>
      </c>
      <c r="C39" s="822" t="s">
        <v>37</v>
      </c>
      <c r="D39" s="818">
        <f>D36*0.0012+D37*0.003</f>
        <v>93.926099999999991</v>
      </c>
    </row>
    <row r="40" spans="1:5">
      <c r="A40" s="830"/>
      <c r="B40" s="831"/>
      <c r="C40" s="821"/>
      <c r="D40" s="832"/>
    </row>
    <row r="41" spans="1:5">
      <c r="A41" s="812" t="s">
        <v>751</v>
      </c>
      <c r="B41" s="833" t="s">
        <v>855</v>
      </c>
      <c r="C41" s="821"/>
      <c r="D41" s="832"/>
    </row>
    <row r="42" spans="1:5">
      <c r="A42" s="830" t="s">
        <v>84</v>
      </c>
      <c r="B42" s="834" t="s">
        <v>541</v>
      </c>
      <c r="C42" s="821" t="s">
        <v>856</v>
      </c>
      <c r="D42" s="832">
        <f>TRANSPORTE!J11</f>
        <v>137704.849556</v>
      </c>
    </row>
    <row r="43" spans="1:5">
      <c r="A43" s="830" t="s">
        <v>85</v>
      </c>
      <c r="B43" s="835" t="s">
        <v>523</v>
      </c>
      <c r="C43" s="821" t="s">
        <v>37</v>
      </c>
      <c r="D43" s="832">
        <v>37.346000000000004</v>
      </c>
    </row>
    <row r="44" spans="1:5">
      <c r="A44" s="830" t="s">
        <v>86</v>
      </c>
      <c r="B44" s="835" t="s">
        <v>857</v>
      </c>
      <c r="C44" s="836" t="s">
        <v>37</v>
      </c>
      <c r="D44" s="832">
        <v>85.366000000000014</v>
      </c>
    </row>
    <row r="45" spans="1:5">
      <c r="A45" s="830" t="s">
        <v>114</v>
      </c>
      <c r="B45" s="835" t="s">
        <v>858</v>
      </c>
      <c r="C45" s="836" t="s">
        <v>856</v>
      </c>
      <c r="D45" s="832">
        <f>TRANSPORTE!J18</f>
        <v>6853.0913999999993</v>
      </c>
    </row>
    <row r="46" spans="1:5">
      <c r="A46" s="830" t="s">
        <v>113</v>
      </c>
      <c r="B46" s="835" t="s">
        <v>859</v>
      </c>
      <c r="C46" s="836" t="s">
        <v>856</v>
      </c>
      <c r="D46" s="832">
        <f>TRANSPORTE!J26</f>
        <v>63962.18</v>
      </c>
    </row>
    <row r="47" spans="1:5">
      <c r="A47" s="830"/>
      <c r="B47" s="831"/>
      <c r="C47" s="837"/>
      <c r="D47" s="838"/>
    </row>
    <row r="48" spans="1:5">
      <c r="A48" s="812" t="s">
        <v>752</v>
      </c>
      <c r="B48" s="813" t="s">
        <v>860</v>
      </c>
      <c r="C48" s="822"/>
      <c r="D48" s="832"/>
    </row>
    <row r="49" spans="1:4">
      <c r="A49" s="819" t="s">
        <v>524</v>
      </c>
      <c r="B49" s="820" t="s">
        <v>861</v>
      </c>
      <c r="C49" s="822" t="s">
        <v>65</v>
      </c>
      <c r="D49" s="832">
        <v>509.99999999999989</v>
      </c>
    </row>
    <row r="50" spans="1:4">
      <c r="A50" s="829" t="s">
        <v>886</v>
      </c>
      <c r="B50" s="820" t="s">
        <v>885</v>
      </c>
      <c r="C50" s="822" t="s">
        <v>10</v>
      </c>
      <c r="D50" s="832">
        <v>680</v>
      </c>
    </row>
    <row r="51" spans="1:4">
      <c r="A51" s="829" t="s">
        <v>525</v>
      </c>
      <c r="B51" s="820" t="s">
        <v>526</v>
      </c>
      <c r="C51" s="821" t="s">
        <v>862</v>
      </c>
      <c r="D51" s="832">
        <v>2</v>
      </c>
    </row>
    <row r="52" spans="1:4">
      <c r="A52" s="829" t="s">
        <v>527</v>
      </c>
      <c r="B52" s="820" t="s">
        <v>863</v>
      </c>
      <c r="C52" s="822" t="s">
        <v>10</v>
      </c>
      <c r="D52" s="832">
        <v>680</v>
      </c>
    </row>
    <row r="53" spans="1:4">
      <c r="A53" s="829" t="s">
        <v>528</v>
      </c>
      <c r="B53" s="839" t="s">
        <v>529</v>
      </c>
      <c r="C53" s="821" t="s">
        <v>10</v>
      </c>
      <c r="D53" s="832">
        <v>3414</v>
      </c>
    </row>
    <row r="54" spans="1:4">
      <c r="A54" s="829" t="s">
        <v>530</v>
      </c>
      <c r="B54" s="820" t="s">
        <v>864</v>
      </c>
      <c r="C54" s="821" t="s">
        <v>10</v>
      </c>
      <c r="D54" s="832">
        <v>55.89</v>
      </c>
    </row>
    <row r="55" spans="1:4">
      <c r="A55" s="828" t="s">
        <v>531</v>
      </c>
      <c r="B55" s="479" t="s">
        <v>532</v>
      </c>
      <c r="C55" s="821" t="s">
        <v>10</v>
      </c>
      <c r="D55" s="832">
        <v>4.5999999999999996</v>
      </c>
    </row>
    <row r="56" spans="1:4">
      <c r="A56" s="829" t="s">
        <v>533</v>
      </c>
      <c r="B56" s="820" t="s">
        <v>865</v>
      </c>
      <c r="C56" s="821" t="s">
        <v>862</v>
      </c>
      <c r="D56" s="832">
        <v>18</v>
      </c>
    </row>
    <row r="57" spans="1:4">
      <c r="A57" s="829" t="s">
        <v>534</v>
      </c>
      <c r="B57" s="820" t="s">
        <v>866</v>
      </c>
      <c r="C57" s="821" t="s">
        <v>862</v>
      </c>
      <c r="D57" s="832">
        <v>1</v>
      </c>
    </row>
    <row r="58" spans="1:4">
      <c r="A58" s="828" t="s">
        <v>535</v>
      </c>
      <c r="B58" s="99" t="s">
        <v>536</v>
      </c>
      <c r="C58" s="98" t="s">
        <v>695</v>
      </c>
      <c r="D58" s="832">
        <v>9</v>
      </c>
    </row>
    <row r="59" spans="1:4">
      <c r="A59" s="829" t="s">
        <v>537</v>
      </c>
      <c r="B59" s="820" t="s">
        <v>538</v>
      </c>
      <c r="C59" s="821" t="s">
        <v>862</v>
      </c>
      <c r="D59" s="832">
        <v>11</v>
      </c>
    </row>
    <row r="60" spans="1:4">
      <c r="A60" s="828" t="s">
        <v>539</v>
      </c>
      <c r="B60" s="99" t="s">
        <v>540</v>
      </c>
      <c r="C60" s="98" t="s">
        <v>695</v>
      </c>
      <c r="D60" s="832">
        <v>1</v>
      </c>
    </row>
    <row r="61" spans="1:4">
      <c r="A61" s="829"/>
      <c r="B61" s="820"/>
      <c r="C61" s="821"/>
      <c r="D61" s="832"/>
    </row>
    <row r="62" spans="1:4">
      <c r="A62" s="812" t="s">
        <v>753</v>
      </c>
      <c r="B62" s="813" t="s">
        <v>164</v>
      </c>
      <c r="C62" s="822"/>
      <c r="D62" s="832"/>
    </row>
    <row r="63" spans="1:4">
      <c r="A63" s="830" t="s">
        <v>84</v>
      </c>
      <c r="B63" s="834" t="s">
        <v>541</v>
      </c>
      <c r="C63" s="821" t="s">
        <v>856</v>
      </c>
      <c r="D63" s="832">
        <f>TRANSPORTE!J35</f>
        <v>1876.7999999999997</v>
      </c>
    </row>
    <row r="64" spans="1:4">
      <c r="A64" s="829" t="s">
        <v>114</v>
      </c>
      <c r="B64" s="820" t="s">
        <v>542</v>
      </c>
      <c r="C64" s="821" t="s">
        <v>856</v>
      </c>
      <c r="D64" s="832">
        <f>TRANSPORTE!J56</f>
        <v>8028.6740579999996</v>
      </c>
    </row>
    <row r="65" spans="1:4">
      <c r="A65" s="829" t="s">
        <v>113</v>
      </c>
      <c r="B65" s="820" t="s">
        <v>543</v>
      </c>
      <c r="C65" s="821" t="s">
        <v>856</v>
      </c>
      <c r="D65" s="832">
        <f>TRANSPORTE!J111</f>
        <v>82459.959999999992</v>
      </c>
    </row>
    <row r="66" spans="1:4">
      <c r="A66" s="829"/>
      <c r="B66" s="820"/>
      <c r="C66" s="821"/>
      <c r="D66" s="832"/>
    </row>
    <row r="67" spans="1:4">
      <c r="A67" s="812" t="s">
        <v>754</v>
      </c>
      <c r="B67" s="813" t="s">
        <v>544</v>
      </c>
      <c r="C67" s="821"/>
      <c r="D67" s="832"/>
    </row>
    <row r="68" spans="1:4">
      <c r="A68" s="840" t="s">
        <v>774</v>
      </c>
      <c r="B68" s="841" t="s">
        <v>775</v>
      </c>
      <c r="C68" s="842" t="s">
        <v>73</v>
      </c>
      <c r="D68" s="832">
        <v>22</v>
      </c>
    </row>
    <row r="69" spans="1:4">
      <c r="A69" s="819" t="s">
        <v>66</v>
      </c>
      <c r="B69" s="820" t="s">
        <v>867</v>
      </c>
      <c r="C69" s="821" t="s">
        <v>65</v>
      </c>
      <c r="D69" s="832">
        <v>532.02999999999975</v>
      </c>
    </row>
    <row r="70" spans="1:4">
      <c r="A70" s="816" t="s">
        <v>888</v>
      </c>
      <c r="B70" s="817" t="s">
        <v>868</v>
      </c>
      <c r="C70" s="822" t="s">
        <v>65</v>
      </c>
      <c r="D70" s="832">
        <v>446.90400000000045</v>
      </c>
    </row>
    <row r="71" spans="1:4">
      <c r="A71" s="819" t="s">
        <v>545</v>
      </c>
      <c r="B71" s="820" t="s">
        <v>869</v>
      </c>
      <c r="C71" s="821" t="s">
        <v>65</v>
      </c>
      <c r="D71" s="832">
        <v>372.42000000000007</v>
      </c>
    </row>
    <row r="72" spans="1:4">
      <c r="A72" s="829" t="s">
        <v>870</v>
      </c>
      <c r="B72" s="820" t="s">
        <v>546</v>
      </c>
      <c r="C72" s="821" t="s">
        <v>65</v>
      </c>
      <c r="D72" s="832">
        <v>200</v>
      </c>
    </row>
    <row r="73" spans="1:4">
      <c r="A73" s="829" t="s">
        <v>890</v>
      </c>
      <c r="B73" s="820" t="s">
        <v>891</v>
      </c>
      <c r="C73" s="821" t="s">
        <v>10</v>
      </c>
      <c r="D73" s="832">
        <v>56</v>
      </c>
    </row>
    <row r="74" spans="1:4">
      <c r="A74" s="828" t="s">
        <v>549</v>
      </c>
      <c r="B74" s="99" t="s">
        <v>702</v>
      </c>
      <c r="C74" s="821" t="s">
        <v>10</v>
      </c>
      <c r="D74" s="832">
        <v>19</v>
      </c>
    </row>
    <row r="75" spans="1:4">
      <c r="A75" s="98" t="s">
        <v>547</v>
      </c>
      <c r="B75" s="99" t="s">
        <v>548</v>
      </c>
      <c r="C75" s="98" t="s">
        <v>695</v>
      </c>
      <c r="D75" s="832">
        <v>8</v>
      </c>
    </row>
    <row r="76" spans="1:4">
      <c r="A76" s="828" t="s">
        <v>550</v>
      </c>
      <c r="B76" s="99" t="s">
        <v>551</v>
      </c>
      <c r="C76" s="98" t="s">
        <v>695</v>
      </c>
      <c r="D76" s="832">
        <v>1</v>
      </c>
    </row>
    <row r="77" spans="1:4">
      <c r="A77" s="824" t="s">
        <v>723</v>
      </c>
      <c r="B77" s="825" t="s">
        <v>722</v>
      </c>
      <c r="C77" s="826" t="s">
        <v>10</v>
      </c>
      <c r="D77" s="843">
        <v>16</v>
      </c>
    </row>
    <row r="78" spans="1:4">
      <c r="A78" s="829"/>
      <c r="B78" s="820"/>
      <c r="C78" s="821"/>
      <c r="D78" s="832"/>
    </row>
    <row r="79" spans="1:4">
      <c r="A79" s="812" t="s">
        <v>755</v>
      </c>
      <c r="B79" s="813" t="s">
        <v>871</v>
      </c>
      <c r="C79" s="822"/>
      <c r="D79" s="832"/>
    </row>
    <row r="80" spans="1:4">
      <c r="A80" s="830" t="s">
        <v>84</v>
      </c>
      <c r="B80" s="834" t="s">
        <v>541</v>
      </c>
      <c r="C80" s="821" t="s">
        <v>856</v>
      </c>
      <c r="D80" s="832">
        <f>TRANSPORTE!J39</f>
        <v>4531.6799168000016</v>
      </c>
    </row>
    <row r="81" spans="1:4">
      <c r="A81" s="829" t="s">
        <v>114</v>
      </c>
      <c r="B81" s="820" t="s">
        <v>542</v>
      </c>
      <c r="C81" s="821" t="s">
        <v>856</v>
      </c>
      <c r="D81" s="832">
        <f>TRANSPORTE!J63</f>
        <v>2513.8710000000001</v>
      </c>
    </row>
    <row r="82" spans="1:4">
      <c r="A82" s="829" t="s">
        <v>113</v>
      </c>
      <c r="B82" s="820" t="s">
        <v>543</v>
      </c>
      <c r="C82" s="821" t="s">
        <v>856</v>
      </c>
      <c r="D82" s="832">
        <f>TRANSPORTE!J134</f>
        <v>25638.869999999988</v>
      </c>
    </row>
    <row r="83" spans="1:4">
      <c r="A83" s="812"/>
      <c r="B83" s="844"/>
      <c r="C83" s="845"/>
      <c r="D83" s="843"/>
    </row>
    <row r="84" spans="1:4">
      <c r="A84" s="812" t="s">
        <v>756</v>
      </c>
      <c r="B84" s="846" t="s">
        <v>62</v>
      </c>
      <c r="C84" s="822"/>
      <c r="D84" s="832"/>
    </row>
    <row r="85" spans="1:4">
      <c r="A85" s="830" t="s">
        <v>70</v>
      </c>
      <c r="B85" s="817" t="s">
        <v>552</v>
      </c>
      <c r="C85" s="822" t="s">
        <v>73</v>
      </c>
      <c r="D85" s="832">
        <f>'[8]SINAL HORIZONTAL A4'!$C$43</f>
        <v>2136.3166499999998</v>
      </c>
    </row>
    <row r="86" spans="1:4">
      <c r="A86" s="830" t="s">
        <v>553</v>
      </c>
      <c r="B86" s="817" t="s">
        <v>872</v>
      </c>
      <c r="C86" s="822" t="s">
        <v>73</v>
      </c>
      <c r="D86" s="832">
        <v>143.56</v>
      </c>
    </row>
    <row r="87" spans="1:4">
      <c r="A87" s="830" t="s">
        <v>71</v>
      </c>
      <c r="B87" s="817" t="s">
        <v>873</v>
      </c>
      <c r="C87" s="822" t="s">
        <v>73</v>
      </c>
      <c r="D87" s="832">
        <v>50.27</v>
      </c>
    </row>
    <row r="88" spans="1:4">
      <c r="A88" s="830" t="s">
        <v>72</v>
      </c>
      <c r="B88" s="817" t="s">
        <v>874</v>
      </c>
      <c r="C88" s="822" t="s">
        <v>695</v>
      </c>
      <c r="D88" s="832">
        <v>550</v>
      </c>
    </row>
    <row r="89" spans="1:4">
      <c r="A89" s="830" t="s">
        <v>554</v>
      </c>
      <c r="B89" s="817" t="s">
        <v>555</v>
      </c>
      <c r="C89" s="822" t="s">
        <v>695</v>
      </c>
      <c r="D89" s="832">
        <v>19</v>
      </c>
    </row>
    <row r="90" spans="1:4">
      <c r="A90" s="830"/>
      <c r="B90" s="817"/>
      <c r="C90" s="822"/>
      <c r="D90" s="832"/>
    </row>
    <row r="91" spans="1:4">
      <c r="A91" s="812" t="s">
        <v>757</v>
      </c>
      <c r="B91" s="846" t="s">
        <v>904</v>
      </c>
      <c r="C91" s="822"/>
      <c r="D91" s="832"/>
    </row>
    <row r="92" spans="1:4">
      <c r="A92" s="829" t="s">
        <v>875</v>
      </c>
      <c r="B92" s="820" t="s">
        <v>556</v>
      </c>
      <c r="C92" s="822" t="s">
        <v>10</v>
      </c>
      <c r="D92" s="832">
        <v>5200</v>
      </c>
    </row>
    <row r="93" spans="1:4">
      <c r="A93" s="824" t="s">
        <v>559</v>
      </c>
      <c r="B93" s="825" t="s">
        <v>560</v>
      </c>
      <c r="C93" s="822" t="s">
        <v>73</v>
      </c>
      <c r="D93" s="832">
        <f>'HIDRO LEITO ESTRADAL'!K13</f>
        <v>43820.782999999996</v>
      </c>
    </row>
    <row r="94" spans="1:4">
      <c r="A94" s="830"/>
      <c r="B94" s="831"/>
      <c r="C94" s="822"/>
      <c r="D94" s="832"/>
    </row>
    <row r="95" spans="1:4">
      <c r="A95" s="812" t="s">
        <v>763</v>
      </c>
      <c r="B95" s="846" t="s">
        <v>165</v>
      </c>
      <c r="C95" s="822"/>
      <c r="D95" s="832"/>
    </row>
    <row r="96" spans="1:4">
      <c r="A96" s="830" t="s">
        <v>557</v>
      </c>
      <c r="B96" s="817" t="s">
        <v>558</v>
      </c>
      <c r="C96" s="822" t="s">
        <v>10</v>
      </c>
      <c r="D96" s="832">
        <v>258</v>
      </c>
    </row>
    <row r="97" spans="1:4" ht="13.5" thickBot="1">
      <c r="A97" s="847" t="s">
        <v>212</v>
      </c>
      <c r="B97" s="848" t="s">
        <v>876</v>
      </c>
      <c r="C97" s="849" t="s">
        <v>73</v>
      </c>
      <c r="D97" s="850">
        <f>'REG MEC FX DOM'!K15</f>
        <v>135909.69199999998</v>
      </c>
    </row>
    <row r="98" spans="1:4">
      <c r="A98" s="824" t="s">
        <v>559</v>
      </c>
      <c r="B98" s="825" t="s">
        <v>560</v>
      </c>
      <c r="C98" s="822" t="s">
        <v>73</v>
      </c>
      <c r="D98" s="832">
        <f>'HIDROSSEMEADURA JAZIDA'!K12</f>
        <v>73950</v>
      </c>
    </row>
    <row r="99" spans="1:4">
      <c r="A99" s="851"/>
      <c r="B99" s="852"/>
      <c r="C99" s="851"/>
      <c r="D99" s="851"/>
    </row>
  </sheetData>
  <mergeCells count="12">
    <mergeCell ref="A8:A9"/>
    <mergeCell ref="B8:B9"/>
    <mergeCell ref="C8:C9"/>
    <mergeCell ref="D8:D9"/>
    <mergeCell ref="A1:B1"/>
    <mergeCell ref="C1:D1"/>
    <mergeCell ref="A2:D2"/>
    <mergeCell ref="B3:D3"/>
    <mergeCell ref="B4:D4"/>
    <mergeCell ref="B5:D5"/>
    <mergeCell ref="B6:D6"/>
    <mergeCell ref="B7:D7"/>
  </mergeCells>
  <printOptions horizontalCentered="1"/>
  <pageMargins left="0.51181102362204722" right="0.31496062992125984" top="0.59055118110236227" bottom="0.39370078740157483" header="0.31496062992125984" footer="0.31496062992125984"/>
  <pageSetup paperSize="9" scale="85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opLeftCell="A16" workbookViewId="0">
      <selection activeCell="E9" sqref="A9:XFD62"/>
    </sheetView>
  </sheetViews>
  <sheetFormatPr defaultRowHeight="12.75"/>
  <cols>
    <col min="1" max="1" width="13.7109375" style="853" customWidth="1"/>
    <col min="2" max="2" width="67.28515625" style="853" customWidth="1"/>
    <col min="3" max="3" width="8.5703125" style="853" customWidth="1"/>
    <col min="4" max="4" width="12.7109375" style="854" customWidth="1"/>
    <col min="5" max="5" width="12.5703125" style="852" bestFit="1" customWidth="1"/>
    <col min="6" max="6" width="13.140625" style="852" customWidth="1"/>
    <col min="7" max="7" width="14.7109375" style="853" customWidth="1"/>
  </cols>
  <sheetData>
    <row r="1" spans="1:7" ht="12.75" customHeight="1">
      <c r="A1" s="1365" t="s">
        <v>877</v>
      </c>
      <c r="B1" s="1366"/>
      <c r="C1" s="1369" t="s">
        <v>878</v>
      </c>
      <c r="D1" s="1370"/>
      <c r="E1" s="1370"/>
      <c r="F1" s="1370"/>
      <c r="G1" s="1371"/>
    </row>
    <row r="2" spans="1:7" ht="15.75" customHeight="1">
      <c r="A2" s="1367"/>
      <c r="B2" s="1368"/>
      <c r="C2" s="1372"/>
      <c r="D2" s="1373"/>
      <c r="E2" s="1373"/>
      <c r="F2" s="1373"/>
      <c r="G2" s="1374"/>
    </row>
    <row r="3" spans="1:7" ht="15" customHeight="1">
      <c r="A3" s="1086" t="s">
        <v>477</v>
      </c>
      <c r="B3" s="1062" t="s">
        <v>835</v>
      </c>
      <c r="C3" s="1377" t="s">
        <v>884</v>
      </c>
      <c r="D3" s="1379"/>
      <c r="E3" s="1378"/>
      <c r="F3" s="1377" t="s">
        <v>1062</v>
      </c>
      <c r="G3" s="1378"/>
    </row>
    <row r="4" spans="1:7" ht="15" customHeight="1">
      <c r="A4" s="1086" t="s">
        <v>478</v>
      </c>
      <c r="B4" s="1062" t="s">
        <v>836</v>
      </c>
      <c r="C4" s="1086" t="s">
        <v>883</v>
      </c>
      <c r="D4" s="1062"/>
      <c r="E4" s="1062"/>
      <c r="F4" s="1062"/>
      <c r="G4" s="1063">
        <v>360</v>
      </c>
    </row>
    <row r="5" spans="1:7" ht="15" customHeight="1">
      <c r="A5" s="1086" t="s">
        <v>505</v>
      </c>
      <c r="B5" s="1062" t="s">
        <v>837</v>
      </c>
      <c r="C5" s="1062"/>
      <c r="D5" s="1062"/>
      <c r="E5" s="1062"/>
      <c r="F5" s="1062"/>
      <c r="G5" s="1062"/>
    </row>
    <row r="6" spans="1:7" ht="15" customHeight="1">
      <c r="A6" s="1086" t="s">
        <v>479</v>
      </c>
      <c r="B6" s="1062" t="s">
        <v>1063</v>
      </c>
      <c r="C6" s="1063" t="s">
        <v>918</v>
      </c>
      <c r="D6" s="1064">
        <f>BDI!E24</f>
        <v>0.28103790406232654</v>
      </c>
      <c r="E6" s="1062"/>
      <c r="F6" s="1062"/>
      <c r="G6" s="1062"/>
    </row>
    <row r="7" spans="1:7" ht="15" customHeight="1">
      <c r="A7" s="1086" t="s">
        <v>838</v>
      </c>
      <c r="B7" s="1062" t="s">
        <v>839</v>
      </c>
      <c r="C7" s="1062"/>
      <c r="D7" s="1062"/>
      <c r="E7" s="1062"/>
      <c r="F7" s="1062"/>
      <c r="G7" s="1062"/>
    </row>
    <row r="8" spans="1:7">
      <c r="A8" s="1375" t="s">
        <v>840</v>
      </c>
      <c r="B8" s="1351" t="s">
        <v>2</v>
      </c>
      <c r="C8" s="1352" t="s">
        <v>3</v>
      </c>
      <c r="D8" s="1376" t="s">
        <v>652</v>
      </c>
      <c r="E8" s="882" t="s">
        <v>880</v>
      </c>
      <c r="F8" s="1363" t="s">
        <v>880</v>
      </c>
      <c r="G8" s="1364"/>
    </row>
    <row r="9" spans="1:7">
      <c r="A9" s="1375"/>
      <c r="B9" s="1351"/>
      <c r="C9" s="1352"/>
      <c r="D9" s="1376"/>
      <c r="E9" s="882" t="s">
        <v>881</v>
      </c>
      <c r="F9" s="811" t="s">
        <v>882</v>
      </c>
      <c r="G9" s="811" t="s">
        <v>20</v>
      </c>
    </row>
    <row r="10" spans="1:7">
      <c r="A10" s="888" t="str">
        <f>QUANT!A10</f>
        <v>I</v>
      </c>
      <c r="B10" s="884" t="str">
        <f>QUANT!B10</f>
        <v>SERVIÇOS PRELIMINARES</v>
      </c>
      <c r="C10" s="814"/>
      <c r="D10" s="857"/>
      <c r="E10" s="857"/>
      <c r="F10" s="857"/>
      <c r="G10" s="858"/>
    </row>
    <row r="11" spans="1:7">
      <c r="A11" s="859" t="str">
        <f>QUANT!A11</f>
        <v>2 S 00 000 10</v>
      </c>
      <c r="B11" s="883" t="str">
        <f>QUANT!B11</f>
        <v>Instalações de Canteiro e Acampamento</v>
      </c>
      <c r="C11" s="859" t="str">
        <f>QUANT!C11</f>
        <v>UN</v>
      </c>
      <c r="D11" s="891">
        <f>QUANT!D11</f>
        <v>1</v>
      </c>
      <c r="E11" s="891">
        <f>'INSTALAÇÃO DE CANTEIRO'!H29</f>
        <v>520250.42</v>
      </c>
      <c r="F11" s="857">
        <f>TRUNC(((D11*E11*100)/100),2)</f>
        <v>520250.42</v>
      </c>
      <c r="G11" s="858"/>
    </row>
    <row r="12" spans="1:7">
      <c r="A12" s="859" t="str">
        <f>QUANT!A12</f>
        <v>2 S 00 000 20</v>
      </c>
      <c r="B12" s="883" t="str">
        <f>QUANT!B12</f>
        <v>Mobilização e Desmobilização de Pessoal</v>
      </c>
      <c r="C12" s="859" t="str">
        <f>QUANT!C12</f>
        <v>UN</v>
      </c>
      <c r="D12" s="891">
        <f>QUANT!D12</f>
        <v>1</v>
      </c>
      <c r="E12" s="891">
        <v>24759.640000000003</v>
      </c>
      <c r="F12" s="857">
        <f t="shared" ref="F12:F17" si="0">TRUNC(((D12*E12*100)/100),2)</f>
        <v>24759.64</v>
      </c>
      <c r="G12" s="858"/>
    </row>
    <row r="13" spans="1:7">
      <c r="A13" s="859" t="str">
        <f>QUANT!A13</f>
        <v>2 S 00 000 22</v>
      </c>
      <c r="B13" s="883" t="str">
        <f>QUANT!B13</f>
        <v>Mobilização e Desmobilização de Equipamento Rodante</v>
      </c>
      <c r="C13" s="859" t="str">
        <f>QUANT!C13</f>
        <v>UN</v>
      </c>
      <c r="D13" s="891">
        <f>QUANT!D13</f>
        <v>1</v>
      </c>
      <c r="E13" s="891">
        <v>39544.43</v>
      </c>
      <c r="F13" s="857">
        <f t="shared" si="0"/>
        <v>39544.43</v>
      </c>
      <c r="G13" s="858"/>
    </row>
    <row r="14" spans="1:7">
      <c r="A14" s="859" t="str">
        <f>QUANT!A14</f>
        <v>2 s 00 000 24</v>
      </c>
      <c r="B14" s="883" t="str">
        <f>QUANT!B14</f>
        <v>Mobilização e Desmobilização de Equipamento Pesado</v>
      </c>
      <c r="C14" s="859" t="str">
        <f>QUANT!C14</f>
        <v>UN</v>
      </c>
      <c r="D14" s="891">
        <f>QUANT!D14</f>
        <v>1</v>
      </c>
      <c r="E14" s="891">
        <v>39150.94</v>
      </c>
      <c r="F14" s="857">
        <f t="shared" si="0"/>
        <v>39150.94</v>
      </c>
      <c r="G14" s="858"/>
    </row>
    <row r="15" spans="1:7">
      <c r="A15" s="859" t="str">
        <f>QUANT!A15</f>
        <v>4 S 06 202 01</v>
      </c>
      <c r="B15" s="883" t="str">
        <f>QUANT!B15</f>
        <v>Placa de obra</v>
      </c>
      <c r="C15" s="859" t="str">
        <f>QUANT!C15</f>
        <v>m²</v>
      </c>
      <c r="D15" s="891">
        <f>QUANT!D15</f>
        <v>25</v>
      </c>
      <c r="E15" s="891">
        <v>202.93</v>
      </c>
      <c r="F15" s="857">
        <f t="shared" si="0"/>
        <v>5073.25</v>
      </c>
      <c r="G15" s="858"/>
    </row>
    <row r="16" spans="1:7">
      <c r="A16" s="859" t="str">
        <f>QUANT!A16</f>
        <v>2 S 00 000 30</v>
      </c>
      <c r="B16" s="883" t="str">
        <f>QUANT!B16</f>
        <v>Marco de concreto de identificação da obra</v>
      </c>
      <c r="C16" s="859" t="str">
        <f>QUANT!C16</f>
        <v>UN</v>
      </c>
      <c r="D16" s="891">
        <f>QUANT!D16</f>
        <v>1</v>
      </c>
      <c r="E16" s="891">
        <v>2613.8850000000002</v>
      </c>
      <c r="F16" s="857">
        <f t="shared" si="0"/>
        <v>2613.88</v>
      </c>
      <c r="G16" s="858"/>
    </row>
    <row r="17" spans="1:7">
      <c r="A17" s="859" t="str">
        <f>QUANT!A17</f>
        <v>comp.</v>
      </c>
      <c r="B17" s="883" t="str">
        <f>QUANT!B17</f>
        <v>Administração Local</v>
      </c>
      <c r="C17" s="859" t="str">
        <f>QUANT!C17</f>
        <v>mês</v>
      </c>
      <c r="D17" s="891">
        <f>QUANT!D17</f>
        <v>12</v>
      </c>
      <c r="E17" s="891">
        <f>'ADM LOCAL'!H46</f>
        <v>28986.426198301324</v>
      </c>
      <c r="F17" s="857">
        <f t="shared" si="0"/>
        <v>347837.11</v>
      </c>
      <c r="G17" s="858">
        <f>SUM(F11:F17)</f>
        <v>979229.66999999993</v>
      </c>
    </row>
    <row r="18" spans="1:7">
      <c r="A18" s="863"/>
      <c r="B18" s="820"/>
      <c r="C18" s="821"/>
      <c r="D18" s="860"/>
      <c r="E18" s="857"/>
      <c r="F18" s="857"/>
      <c r="G18" s="858"/>
    </row>
    <row r="19" spans="1:7">
      <c r="A19" s="886" t="str">
        <f>QUANT!A19</f>
        <v>II</v>
      </c>
      <c r="B19" s="887" t="str">
        <f>QUANT!B19</f>
        <v>TERRAPLENAGEM</v>
      </c>
      <c r="C19" s="821"/>
      <c r="D19" s="860"/>
      <c r="E19" s="857"/>
      <c r="F19" s="857"/>
      <c r="G19" s="858"/>
    </row>
    <row r="20" spans="1:7">
      <c r="A20" s="864" t="str">
        <f>QUANT!A20</f>
        <v>2 S 01 000 00</v>
      </c>
      <c r="B20" s="885" t="str">
        <f>QUANT!B20</f>
        <v>Desm. dest. limpeza areas c/arv. diam. ate 0,15 m</v>
      </c>
      <c r="C20" s="864" t="str">
        <f>QUANT!C20</f>
        <v>m²</v>
      </c>
      <c r="D20" s="892">
        <f>QUANT!D20</f>
        <v>62415.837999999996</v>
      </c>
      <c r="E20" s="899">
        <f>TRUNC((0.32*(1+($D$6))),2)</f>
        <v>0.4</v>
      </c>
      <c r="F20" s="857">
        <f t="shared" ref="F20:F29" si="1">TRUNC(((D20*E20*100)/100),2)</f>
        <v>24966.33</v>
      </c>
      <c r="G20" s="858"/>
    </row>
    <row r="21" spans="1:7">
      <c r="A21" s="864" t="str">
        <f>QUANT!A21</f>
        <v>2 S 01 012 00</v>
      </c>
      <c r="B21" s="885" t="str">
        <f>QUANT!B21</f>
        <v>Destocamento de árvores c/diâm. &gt; 0,30 m</v>
      </c>
      <c r="C21" s="864" t="str">
        <f>QUANT!C21</f>
        <v>unid</v>
      </c>
      <c r="D21" s="892">
        <f>QUANT!D21</f>
        <v>3</v>
      </c>
      <c r="E21" s="899">
        <f>TRUNC((76.74*(1+($D$6))),2)</f>
        <v>98.3</v>
      </c>
      <c r="F21" s="857">
        <f t="shared" si="1"/>
        <v>294.89999999999998</v>
      </c>
      <c r="G21" s="858"/>
    </row>
    <row r="22" spans="1:7">
      <c r="A22" s="864" t="str">
        <f>QUANT!A22</f>
        <v>2 S 01 100 01</v>
      </c>
      <c r="B22" s="885" t="str">
        <f>QUANT!B22</f>
        <v>Esc., carga, transp.mat. 1ª cat DMT 50m</v>
      </c>
      <c r="C22" s="864" t="str">
        <f>QUANT!C22</f>
        <v>m³</v>
      </c>
      <c r="D22" s="892">
        <f>QUANT!D22</f>
        <v>87.665000000000006</v>
      </c>
      <c r="E22" s="899">
        <f>TRUNC((1.62*(1+($D$6))),2)</f>
        <v>2.0699999999999998</v>
      </c>
      <c r="F22" s="857">
        <f t="shared" si="1"/>
        <v>181.46</v>
      </c>
      <c r="G22" s="858"/>
    </row>
    <row r="23" spans="1:7">
      <c r="A23" s="864" t="str">
        <f>QUANT!A23</f>
        <v>2 S 01 100 22</v>
      </c>
      <c r="B23" s="885" t="str">
        <f>QUANT!B23</f>
        <v>Esc., carga, transp.mat. 1ª cat DMT 50 a 200m c/e</v>
      </c>
      <c r="C23" s="864" t="str">
        <f>QUANT!C23</f>
        <v>m³</v>
      </c>
      <c r="D23" s="892">
        <f>QUANT!D23</f>
        <v>29824.28</v>
      </c>
      <c r="E23" s="899">
        <f>TRUNC((5.08*(1+($D$6))),2)</f>
        <v>6.5</v>
      </c>
      <c r="F23" s="857">
        <f t="shared" si="1"/>
        <v>193857.82</v>
      </c>
      <c r="G23" s="858"/>
    </row>
    <row r="24" spans="1:7">
      <c r="A24" s="864" t="str">
        <f>QUANT!A24</f>
        <v>2 S 01 100 23</v>
      </c>
      <c r="B24" s="885" t="str">
        <f>QUANT!B24</f>
        <v>Esc., carga, transp.mat. 1ª cat DMT 200 a 400m c/e</v>
      </c>
      <c r="C24" s="864" t="str">
        <f>QUANT!C24</f>
        <v>m³</v>
      </c>
      <c r="D24" s="892">
        <f>QUANT!D24</f>
        <v>9089.8209999999999</v>
      </c>
      <c r="E24" s="899">
        <f>TRUNC((5.52*(1+($D$6))),2)</f>
        <v>7.07</v>
      </c>
      <c r="F24" s="857">
        <f t="shared" si="1"/>
        <v>64265.03</v>
      </c>
      <c r="G24" s="858"/>
    </row>
    <row r="25" spans="1:7">
      <c r="A25" s="864" t="str">
        <f>QUANT!A25</f>
        <v>2 S 01 100 24</v>
      </c>
      <c r="B25" s="885" t="str">
        <f>QUANT!B25</f>
        <v>Esc., carga, transp.mat. 1ª cat DMT 400 a 600m c/e</v>
      </c>
      <c r="C25" s="864" t="str">
        <f>QUANT!C25</f>
        <v>m³</v>
      </c>
      <c r="D25" s="892">
        <f>QUANT!D25</f>
        <v>2466.2480000000069</v>
      </c>
      <c r="E25" s="899">
        <f>TRUNC((5.96*(1+($D$6))),2)</f>
        <v>7.63</v>
      </c>
      <c r="F25" s="857">
        <f t="shared" si="1"/>
        <v>18817.47</v>
      </c>
      <c r="G25" s="858"/>
    </row>
    <row r="26" spans="1:7">
      <c r="A26" s="864" t="str">
        <f>QUANT!A26</f>
        <v>2 S 01 100 25</v>
      </c>
      <c r="B26" s="885" t="str">
        <f>QUANT!B26</f>
        <v>Esc., carga, transp.mat. 1ª cat DMT 600 a 800m c/e</v>
      </c>
      <c r="C26" s="864" t="str">
        <f>QUANT!C26</f>
        <v>m³</v>
      </c>
      <c r="D26" s="892">
        <f>QUANT!D26</f>
        <v>1765.3040000000001</v>
      </c>
      <c r="E26" s="899">
        <f>TRUNC((6.39*(1+($D$6))),2)</f>
        <v>8.18</v>
      </c>
      <c r="F26" s="857">
        <f t="shared" si="1"/>
        <v>14440.18</v>
      </c>
      <c r="G26" s="858"/>
    </row>
    <row r="27" spans="1:7">
      <c r="A27" s="864" t="str">
        <f>QUANT!A27</f>
        <v>2 S 01 100 26</v>
      </c>
      <c r="B27" s="885" t="str">
        <f>QUANT!B27</f>
        <v>Esc. carga transp. mat 1ª cat DMT 800 a 1000m c/e</v>
      </c>
      <c r="C27" s="864" t="str">
        <f>QUANT!C27</f>
        <v>m³</v>
      </c>
      <c r="D27" s="892">
        <f>QUANT!D27</f>
        <v>93.54</v>
      </c>
      <c r="E27" s="899">
        <f>TRUNC((6.77*(1+($D$6))),2)</f>
        <v>8.67</v>
      </c>
      <c r="F27" s="857">
        <f t="shared" si="1"/>
        <v>810.99</v>
      </c>
      <c r="G27" s="858"/>
    </row>
    <row r="28" spans="1:7">
      <c r="A28" s="864" t="str">
        <f>QUANT!A28</f>
        <v>2 S 01 100 30</v>
      </c>
      <c r="B28" s="885" t="str">
        <f>QUANT!B28</f>
        <v>Esc. carga transp. mat. 1ª cat. DMT 1600 à 1800 c/e</v>
      </c>
      <c r="C28" s="864" t="str">
        <f>QUANT!C28</f>
        <v>m³</v>
      </c>
      <c r="D28" s="892">
        <f>QUANT!D28</f>
        <v>9608.0820000000003</v>
      </c>
      <c r="E28" s="899">
        <f>TRUNC((7.94*(1+($D$6))),2)</f>
        <v>10.17</v>
      </c>
      <c r="F28" s="857">
        <f t="shared" si="1"/>
        <v>97714.19</v>
      </c>
      <c r="G28" s="858"/>
    </row>
    <row r="29" spans="1:7">
      <c r="A29" s="864" t="str">
        <f>QUANT!A29</f>
        <v>2 S 01 511 00</v>
      </c>
      <c r="B29" s="885" t="str">
        <f>QUANT!B29</f>
        <v>Compactação de aterros a 100% proctor normal</v>
      </c>
      <c r="C29" s="864" t="str">
        <f>QUANT!C29</f>
        <v>m³</v>
      </c>
      <c r="D29" s="892">
        <f>QUANT!D29</f>
        <v>44112.450000000019</v>
      </c>
      <c r="E29" s="899">
        <f>TRUNC((2.78*(1+($D$6))),2)</f>
        <v>3.56</v>
      </c>
      <c r="F29" s="857">
        <f t="shared" si="1"/>
        <v>157040.32000000001</v>
      </c>
      <c r="G29" s="858">
        <f>SUM(F20:F29)</f>
        <v>572388.68999999994</v>
      </c>
    </row>
    <row r="30" spans="1:7">
      <c r="A30" s="859"/>
      <c r="B30" s="817"/>
      <c r="C30" s="821"/>
      <c r="D30" s="860"/>
      <c r="E30" s="857"/>
      <c r="F30" s="857"/>
      <c r="G30" s="858"/>
    </row>
    <row r="31" spans="1:7">
      <c r="A31" s="856" t="str">
        <f>QUANT!A31</f>
        <v>III</v>
      </c>
      <c r="B31" s="813" t="str">
        <f>QUANT!B31</f>
        <v>PAVIMENTAÇÃO</v>
      </c>
      <c r="C31" s="822"/>
      <c r="D31" s="860"/>
      <c r="E31" s="857"/>
      <c r="F31" s="857"/>
      <c r="G31" s="862"/>
    </row>
    <row r="32" spans="1:7">
      <c r="A32" s="869" t="str">
        <f>QUANT!A32</f>
        <v>2 S 02 110 00</v>
      </c>
      <c r="B32" s="889" t="str">
        <f>QUANT!B32</f>
        <v>Regularização do subleito</v>
      </c>
      <c r="C32" s="869" t="str">
        <f>QUANT!C32</f>
        <v>m²</v>
      </c>
      <c r="D32" s="891">
        <f>QUANT!D32</f>
        <v>43258.45</v>
      </c>
      <c r="E32" s="899">
        <f>TRUNC((0.74*(1+($D$6))),2)</f>
        <v>0.94</v>
      </c>
      <c r="F32" s="857">
        <f t="shared" ref="F32:F39" si="2">TRUNC(((D32*E32*100)/100),2)</f>
        <v>40662.94</v>
      </c>
      <c r="G32" s="862"/>
    </row>
    <row r="33" spans="1:7">
      <c r="A33" s="869" t="str">
        <f>QUANT!A33</f>
        <v>COMP.</v>
      </c>
      <c r="B33" s="889" t="str">
        <f>QUANT!B33</f>
        <v>Sub-base de solo estabilizado granulometricamente s/mistura</v>
      </c>
      <c r="C33" s="869" t="str">
        <f>QUANT!C33</f>
        <v>m³</v>
      </c>
      <c r="D33" s="891">
        <f>QUANT!D33</f>
        <v>8651.6899999999987</v>
      </c>
      <c r="E33" s="899">
        <f>TRUNC(('SUB-BASE'!U42*(1+($D$6))),2)</f>
        <v>19.829999999999998</v>
      </c>
      <c r="F33" s="857">
        <f t="shared" si="2"/>
        <v>171563.01</v>
      </c>
      <c r="G33" s="862"/>
    </row>
    <row r="34" spans="1:7">
      <c r="A34" s="869" t="str">
        <f>QUANT!A34</f>
        <v>COMP.</v>
      </c>
      <c r="B34" s="889" t="str">
        <f>QUANT!B34</f>
        <v>Base de solo estabilizado granulo. s/mistura</v>
      </c>
      <c r="C34" s="869" t="str">
        <f>QUANT!C34</f>
        <v>m³</v>
      </c>
      <c r="D34" s="891">
        <f>QUANT!D34</f>
        <v>8299.52</v>
      </c>
      <c r="E34" s="899">
        <f>TRUNC((BASE!U42*(1+($D$6))),2)</f>
        <v>19.829999999999998</v>
      </c>
      <c r="F34" s="857">
        <f t="shared" si="2"/>
        <v>164579.48000000001</v>
      </c>
      <c r="G34" s="862"/>
    </row>
    <row r="35" spans="1:7">
      <c r="A35" s="869" t="str">
        <f>QUANT!A35</f>
        <v>2 S 02 300 00</v>
      </c>
      <c r="B35" s="889" t="str">
        <f>QUANT!B35</f>
        <v>Imprimação</v>
      </c>
      <c r="C35" s="869" t="str">
        <f>QUANT!C35</f>
        <v>m²</v>
      </c>
      <c r="D35" s="891">
        <f>QUANT!D35</f>
        <v>34788.699999999997</v>
      </c>
      <c r="E35" s="899">
        <f>TRUNC((0.25*(1+($D$6))),2)</f>
        <v>0.32</v>
      </c>
      <c r="F35" s="857">
        <f t="shared" si="2"/>
        <v>11132.38</v>
      </c>
      <c r="G35" s="862"/>
    </row>
    <row r="36" spans="1:7">
      <c r="A36" s="869" t="str">
        <f>QUANT!A36</f>
        <v>2 S 02 500 52</v>
      </c>
      <c r="B36" s="889" t="str">
        <f>QUANT!B36</f>
        <v xml:space="preserve"> Tratamento superficial simples c/ banho diluído - BC</v>
      </c>
      <c r="C36" s="869" t="str">
        <f>QUANT!C36</f>
        <v>m²</v>
      </c>
      <c r="D36" s="891">
        <f>QUANT!D36</f>
        <v>5800</v>
      </c>
      <c r="E36" s="899">
        <f>TRUNC((1.43*(1+($D$6))),2)</f>
        <v>1.83</v>
      </c>
      <c r="F36" s="857">
        <f t="shared" si="2"/>
        <v>10614</v>
      </c>
      <c r="G36" s="862"/>
    </row>
    <row r="37" spans="1:7">
      <c r="A37" s="869" t="str">
        <f>QUANT!A37</f>
        <v>2 S 02 501 52</v>
      </c>
      <c r="B37" s="889" t="str">
        <f>QUANT!B37</f>
        <v xml:space="preserve"> Tratamento superficial duplo c/ banho diluído - BC</v>
      </c>
      <c r="C37" s="869" t="str">
        <f>QUANT!C37</f>
        <v>m²</v>
      </c>
      <c r="D37" s="891">
        <f>QUANT!D37</f>
        <v>28988.7</v>
      </c>
      <c r="E37" s="899">
        <f>TRUNC((4.23*(1+($D$6))),2)</f>
        <v>5.41</v>
      </c>
      <c r="F37" s="857">
        <f t="shared" si="2"/>
        <v>156828.85999999999</v>
      </c>
      <c r="G37" s="858"/>
    </row>
    <row r="38" spans="1:7">
      <c r="A38" s="869" t="str">
        <f>QUANT!A38</f>
        <v>2 S 02 999 03</v>
      </c>
      <c r="B38" s="889" t="str">
        <f>QUANT!B38</f>
        <v>Fornecimento de asfalto diluído CM-30</v>
      </c>
      <c r="C38" s="869" t="str">
        <f>QUANT!C38</f>
        <v>t</v>
      </c>
      <c r="D38" s="891">
        <f>QUANT!D38</f>
        <v>41.746439999999993</v>
      </c>
      <c r="E38" s="899">
        <f>TRUNC((2749.31245752393*(1+(0.1769))),2)</f>
        <v>3235.66</v>
      </c>
      <c r="F38" s="857">
        <f t="shared" si="2"/>
        <v>135077.28</v>
      </c>
      <c r="G38" s="858"/>
    </row>
    <row r="39" spans="1:7">
      <c r="A39" s="869" t="str">
        <f>QUANT!A39</f>
        <v>2 S 02 999 05</v>
      </c>
      <c r="B39" s="889" t="str">
        <f>QUANT!B39</f>
        <v xml:space="preserve">Fornecimento de emulsão asfáltica RR-2C </v>
      </c>
      <c r="C39" s="869" t="str">
        <f>QUANT!C39</f>
        <v>t</v>
      </c>
      <c r="D39" s="891">
        <f>QUANT!D39</f>
        <v>93.926099999999991</v>
      </c>
      <c r="E39" s="899">
        <f>TRUNC((1507.78996372029*(1+(0.1769))),2)</f>
        <v>1774.51</v>
      </c>
      <c r="F39" s="857">
        <f t="shared" si="2"/>
        <v>166672.79999999999</v>
      </c>
      <c r="G39" s="858">
        <f>SUM(F32:F39)</f>
        <v>857130.75</v>
      </c>
    </row>
    <row r="40" spans="1:7">
      <c r="A40" s="869"/>
      <c r="B40" s="889"/>
      <c r="C40" s="869"/>
      <c r="D40" s="891"/>
      <c r="E40" s="861"/>
      <c r="F40" s="857"/>
      <c r="G40" s="858"/>
    </row>
    <row r="41" spans="1:7">
      <c r="A41" s="856" t="str">
        <f>QUANT!A41</f>
        <v>IV</v>
      </c>
      <c r="B41" s="890" t="str">
        <f>QUANT!B41</f>
        <v>TRANSPORTE PARA PAVIMENTAÇÃO</v>
      </c>
      <c r="C41" s="869"/>
      <c r="D41" s="891"/>
      <c r="E41" s="861"/>
      <c r="F41" s="857"/>
      <c r="G41" s="858"/>
    </row>
    <row r="42" spans="1:7">
      <c r="A42" s="869" t="str">
        <f>QUANT!A42</f>
        <v>2 S 09 001 05</v>
      </c>
      <c r="B42" s="889" t="str">
        <f>QUANT!B42</f>
        <v>Transporte local em rodovia não pavimentada (constr.)</v>
      </c>
      <c r="C42" s="869" t="str">
        <f>QUANT!C42</f>
        <v>txkm</v>
      </c>
      <c r="D42" s="891">
        <f>QUANT!D42</f>
        <v>137704.849556</v>
      </c>
      <c r="E42" s="899">
        <f>TRUNC((0.8*(1+($D$6))),2)</f>
        <v>1.02</v>
      </c>
      <c r="F42" s="857">
        <f>TRUNC(((D42*E42*100)/100),2)</f>
        <v>140458.94</v>
      </c>
      <c r="G42" s="858"/>
    </row>
    <row r="43" spans="1:7">
      <c r="A43" s="869" t="str">
        <f>QUANT!A43</f>
        <v>2 S 09 009 03</v>
      </c>
      <c r="B43" s="889" t="str">
        <f>QUANT!B43</f>
        <v>Transporte de asfalto diluído CM-30</v>
      </c>
      <c r="C43" s="869" t="str">
        <f>QUANT!C43</f>
        <v>t</v>
      </c>
      <c r="D43" s="891">
        <f>QUANT!D43</f>
        <v>37.346000000000004</v>
      </c>
      <c r="E43" s="899">
        <f>TRUNC((46.86*(1+($D$6))),2)</f>
        <v>60.02</v>
      </c>
      <c r="F43" s="857">
        <f>TRUNC(((D43*E43*100)/100),2)</f>
        <v>2241.5</v>
      </c>
      <c r="G43" s="867"/>
    </row>
    <row r="44" spans="1:7">
      <c r="A44" s="869" t="str">
        <f>QUANT!A44</f>
        <v>2 S 09 009 05</v>
      </c>
      <c r="B44" s="889" t="str">
        <f>QUANT!B44</f>
        <v xml:space="preserve">Transporte de emulsão asfáltica RR-2C </v>
      </c>
      <c r="C44" s="869" t="str">
        <f>QUANT!C44</f>
        <v>t</v>
      </c>
      <c r="D44" s="891">
        <f>QUANT!D44</f>
        <v>85.366000000000014</v>
      </c>
      <c r="E44" s="899">
        <f>TRUNC((46.86*(1+($D$6))),2)</f>
        <v>60.02</v>
      </c>
      <c r="F44" s="857">
        <f>TRUNC(((D44*E44*100)/100),2)</f>
        <v>5123.66</v>
      </c>
      <c r="G44" s="862"/>
    </row>
    <row r="45" spans="1:7">
      <c r="A45" s="869" t="str">
        <f>QUANT!A45</f>
        <v>2 S 09 001 91</v>
      </c>
      <c r="B45" s="889" t="str">
        <f>QUANT!B45</f>
        <v xml:space="preserve">Transp. com. c/ basc. 10m³ rodovia  não pavimentada </v>
      </c>
      <c r="C45" s="869" t="str">
        <f>QUANT!C45</f>
        <v>txkm</v>
      </c>
      <c r="D45" s="891">
        <f>QUANT!D45</f>
        <v>6853.0913999999993</v>
      </c>
      <c r="E45" s="899">
        <f>TRUNC((0.63*(1+($D$6))),2)</f>
        <v>0.8</v>
      </c>
      <c r="F45" s="857">
        <f>TRUNC(((D45*E45*100)/100),2)</f>
        <v>5482.47</v>
      </c>
      <c r="G45" s="862"/>
    </row>
    <row r="46" spans="1:7">
      <c r="A46" s="869" t="str">
        <f>QUANT!A46</f>
        <v>2 S 09 002 91</v>
      </c>
      <c r="B46" s="889" t="str">
        <f>QUANT!B46</f>
        <v xml:space="preserve">Transp. com. c/ basc. 10m³ rodovia pavimentada </v>
      </c>
      <c r="C46" s="869" t="str">
        <f>QUANT!C46</f>
        <v>txkm</v>
      </c>
      <c r="D46" s="891">
        <f>QUANT!D46</f>
        <v>63962.18</v>
      </c>
      <c r="E46" s="899">
        <f>TRUNC((0.42*(1+($D$6))),2)</f>
        <v>0.53</v>
      </c>
      <c r="F46" s="857">
        <f>TRUNC(((D46*E46*100)/100),2)</f>
        <v>33899.949999999997</v>
      </c>
      <c r="G46" s="858">
        <f>SUM(F42:F46)</f>
        <v>187206.52000000002</v>
      </c>
    </row>
    <row r="47" spans="1:7">
      <c r="A47" s="869"/>
      <c r="B47" s="831"/>
      <c r="C47" s="837"/>
      <c r="D47" s="870"/>
      <c r="E47" s="837"/>
      <c r="F47" s="857"/>
      <c r="G47" s="837"/>
    </row>
    <row r="48" spans="1:7">
      <c r="A48" s="856" t="str">
        <f>QUANT!A48</f>
        <v>V</v>
      </c>
      <c r="B48" s="813" t="str">
        <f>QUANT!B48</f>
        <v>DRENAGEM</v>
      </c>
      <c r="C48" s="822"/>
      <c r="D48" s="866"/>
      <c r="E48" s="857"/>
      <c r="F48" s="857"/>
      <c r="G48" s="858"/>
    </row>
    <row r="49" spans="1:7">
      <c r="A49" s="863" t="str">
        <f>QUANT!A49</f>
        <v>3 S 04 001 00</v>
      </c>
      <c r="B49" s="893" t="str">
        <f>QUANT!B49</f>
        <v>Escavação mecaniz de vala em material de 1ª cat. (implantação dreno profundo)</v>
      </c>
      <c r="C49" s="863" t="str">
        <f>QUANT!C49</f>
        <v>m³</v>
      </c>
      <c r="D49" s="897">
        <f>QUANT!D49</f>
        <v>509.99999999999989</v>
      </c>
      <c r="E49" s="899">
        <f>TRUNC((6.7*(1+($D$6))),2)</f>
        <v>8.58</v>
      </c>
      <c r="F49" s="857">
        <f t="shared" ref="F49:F60" si="3">TRUNC(((D49*E49*100)/100),2)</f>
        <v>4375.8</v>
      </c>
      <c r="G49" s="858"/>
    </row>
    <row r="50" spans="1:7">
      <c r="A50" s="863" t="str">
        <f>QUANT!A50</f>
        <v>2 S 04 500 63</v>
      </c>
      <c r="B50" s="893" t="str">
        <f>QUANT!B50</f>
        <v>Dreno PEAD long. prof.p/corte em solo-DPS 13 AC/BC</v>
      </c>
      <c r="C50" s="863" t="str">
        <f>QUANT!C50</f>
        <v>m</v>
      </c>
      <c r="D50" s="897">
        <f>QUANT!D50</f>
        <v>680</v>
      </c>
      <c r="E50" s="899">
        <f>TRUNC((111.31*(1+($D$6))),2)</f>
        <v>142.59</v>
      </c>
      <c r="F50" s="857">
        <f t="shared" si="3"/>
        <v>96961.2</v>
      </c>
      <c r="G50" s="858"/>
    </row>
    <row r="51" spans="1:7">
      <c r="A51" s="863" t="str">
        <f>QUANT!A51</f>
        <v>2 S 04 502 52</v>
      </c>
      <c r="B51" s="893" t="str">
        <f>QUANT!B51</f>
        <v>Boca de saída de dreno longitudinal profundo BSD 02 - AC/BC</v>
      </c>
      <c r="C51" s="863" t="str">
        <f>QUANT!C51</f>
        <v>unid.</v>
      </c>
      <c r="D51" s="897">
        <f>QUANT!D51</f>
        <v>2</v>
      </c>
      <c r="E51" s="899">
        <f>TRUNC((247.87*(1+($D$6))),2)</f>
        <v>317.52999999999997</v>
      </c>
      <c r="F51" s="857">
        <f t="shared" si="3"/>
        <v>635.05999999999995</v>
      </c>
      <c r="G51" s="858"/>
    </row>
    <row r="52" spans="1:7">
      <c r="A52" s="863" t="str">
        <f>QUANT!A52</f>
        <v>2 S 04 900 54</v>
      </c>
      <c r="B52" s="893" t="str">
        <f>QUANT!B52</f>
        <v>Sarjeta triangular de concreto STC  04  AC/BC</v>
      </c>
      <c r="C52" s="863" t="str">
        <f>QUANT!C52</f>
        <v>m</v>
      </c>
      <c r="D52" s="897">
        <f>QUANT!D52</f>
        <v>680</v>
      </c>
      <c r="E52" s="899">
        <f>TRUNC((26.94*(1+($D$6))),2)</f>
        <v>34.51</v>
      </c>
      <c r="F52" s="857">
        <f t="shared" si="3"/>
        <v>23466.799999999999</v>
      </c>
      <c r="G52" s="858"/>
    </row>
    <row r="53" spans="1:7">
      <c r="A53" s="863" t="s">
        <v>887</v>
      </c>
      <c r="B53" s="893" t="str">
        <f>QUANT!B53</f>
        <v>Meio-fio de concreto - MFC 01 AC/BC tipo A (c/sarjeta de 30,0cm)</v>
      </c>
      <c r="C53" s="863" t="str">
        <f>QUANT!C53</f>
        <v>m</v>
      </c>
      <c r="D53" s="897">
        <f>QUANT!D53</f>
        <v>3414</v>
      </c>
      <c r="E53" s="899">
        <f>TRUNC((30.88*(1+($D$6))),2)</f>
        <v>39.549999999999997</v>
      </c>
      <c r="F53" s="857">
        <f t="shared" si="3"/>
        <v>135023.70000000001</v>
      </c>
      <c r="G53" s="858"/>
    </row>
    <row r="54" spans="1:7">
      <c r="A54" s="863" t="str">
        <f>QUANT!A54</f>
        <v>2 S 04 940 52</v>
      </c>
      <c r="B54" s="893" t="str">
        <f>QUANT!B54</f>
        <v>Descida d'água tipo rap. canal retang. DAR 02 - AC/BC</v>
      </c>
      <c r="C54" s="863" t="str">
        <f>QUANT!C54</f>
        <v>m</v>
      </c>
      <c r="D54" s="897">
        <f>QUANT!D54</f>
        <v>55.89</v>
      </c>
      <c r="E54" s="899">
        <f>TRUNC((78.37*(1+($D$6))),2)</f>
        <v>100.39</v>
      </c>
      <c r="F54" s="857">
        <f t="shared" si="3"/>
        <v>5610.79</v>
      </c>
      <c r="G54" s="862"/>
    </row>
    <row r="55" spans="1:7">
      <c r="A55" s="863" t="str">
        <f>QUANT!A55</f>
        <v>2 S 04 941 68</v>
      </c>
      <c r="B55" s="893" t="str">
        <f>QUANT!B55</f>
        <v>Descida d'água aterros em degraus arm - DAD 18 - AC/BC</v>
      </c>
      <c r="C55" s="863" t="str">
        <f>QUANT!C55</f>
        <v>m</v>
      </c>
      <c r="D55" s="897">
        <f>QUANT!D55</f>
        <v>4.5999999999999996</v>
      </c>
      <c r="E55" s="899">
        <f>TRUNC((1120.34*(1+($D$6))),2)</f>
        <v>1435.19</v>
      </c>
      <c r="F55" s="857">
        <f t="shared" si="3"/>
        <v>6601.87</v>
      </c>
      <c r="G55" s="862"/>
    </row>
    <row r="56" spans="1:7">
      <c r="A56" s="863" t="str">
        <f>QUANT!A56</f>
        <v>2 S 04 942 51</v>
      </c>
      <c r="B56" s="893" t="str">
        <f>QUANT!B56</f>
        <v>Entrada d´água - EDA 01 - AC/BC</v>
      </c>
      <c r="C56" s="863" t="str">
        <f>QUANT!C56</f>
        <v>unid.</v>
      </c>
      <c r="D56" s="897">
        <f>QUANT!D56</f>
        <v>18</v>
      </c>
      <c r="E56" s="899">
        <f>TRUNC((41.93*(1+($D$6))),2)</f>
        <v>53.71</v>
      </c>
      <c r="F56" s="857">
        <f t="shared" si="3"/>
        <v>966.78</v>
      </c>
      <c r="G56" s="862"/>
    </row>
    <row r="57" spans="1:7">
      <c r="A57" s="863" t="str">
        <f>QUANT!A57</f>
        <v>2 S 04 942 52</v>
      </c>
      <c r="B57" s="893" t="str">
        <f>QUANT!B57</f>
        <v>Entrada d´água - EDA 02 - AC/BC</v>
      </c>
      <c r="C57" s="863" t="str">
        <f>QUANT!C57</f>
        <v>unid.</v>
      </c>
      <c r="D57" s="897">
        <f>QUANT!D57</f>
        <v>1</v>
      </c>
      <c r="E57" s="899">
        <f>TRUNC((50.09*(1+($D$6))),2)</f>
        <v>64.16</v>
      </c>
      <c r="F57" s="857">
        <f t="shared" si="3"/>
        <v>64.16</v>
      </c>
      <c r="G57" s="862"/>
    </row>
    <row r="58" spans="1:7">
      <c r="A58" s="863" t="str">
        <f>QUANT!A58</f>
        <v>2 S 04 950 62</v>
      </c>
      <c r="B58" s="893" t="str">
        <f>QUANT!B58</f>
        <v>Dissipador de energia - DES 02 AC/PC</v>
      </c>
      <c r="C58" s="863" t="str">
        <f>QUANT!C58</f>
        <v>unid</v>
      </c>
      <c r="D58" s="897">
        <f>QUANT!D58</f>
        <v>9</v>
      </c>
      <c r="E58" s="899">
        <f>TRUNC((266.75*(1+($D$6))),2)</f>
        <v>341.71</v>
      </c>
      <c r="F58" s="857">
        <f t="shared" si="3"/>
        <v>3075.39</v>
      </c>
      <c r="G58" s="858"/>
    </row>
    <row r="59" spans="1:7">
      <c r="A59" s="863" t="str">
        <f>QUANT!A59</f>
        <v>2 S 04 950 71</v>
      </c>
      <c r="B59" s="893" t="str">
        <f>QUANT!B59</f>
        <v>Dissipador de energia - DEB 01 AC/BC/PC</v>
      </c>
      <c r="C59" s="863" t="str">
        <f>QUANT!C59</f>
        <v>unid.</v>
      </c>
      <c r="D59" s="897">
        <f>QUANT!D59</f>
        <v>11</v>
      </c>
      <c r="E59" s="899">
        <f>TRUNC((256.06*(1+($D$6))),2)</f>
        <v>328.02</v>
      </c>
      <c r="F59" s="857">
        <f t="shared" si="3"/>
        <v>3608.22</v>
      </c>
      <c r="G59" s="858"/>
    </row>
    <row r="60" spans="1:7">
      <c r="A60" s="863" t="str">
        <f>QUANT!A60</f>
        <v>2 S 04 950 79</v>
      </c>
      <c r="B60" s="893" t="str">
        <f>QUANT!B60</f>
        <v>Dissipador de energia - DEB 09 AC/BC/PC</v>
      </c>
      <c r="C60" s="863" t="str">
        <f>QUANT!C60</f>
        <v>unid</v>
      </c>
      <c r="D60" s="897">
        <f>QUANT!D60</f>
        <v>1</v>
      </c>
      <c r="E60" s="899">
        <f>TRUNC((6044.6*(1+($D$6))),2)</f>
        <v>7743.36</v>
      </c>
      <c r="F60" s="857">
        <f t="shared" si="3"/>
        <v>7743.36</v>
      </c>
      <c r="G60" s="858">
        <f>SUM(F49:F60)</f>
        <v>288133.12999999995</v>
      </c>
    </row>
    <row r="61" spans="1:7">
      <c r="A61" s="863"/>
      <c r="B61" s="863"/>
      <c r="C61" s="863"/>
      <c r="D61" s="897"/>
      <c r="E61" s="857"/>
      <c r="F61" s="857"/>
      <c r="G61" s="858"/>
    </row>
    <row r="62" spans="1:7">
      <c r="A62" s="894" t="str">
        <f>QUANT!A62</f>
        <v>VI</v>
      </c>
      <c r="B62" s="895" t="str">
        <f>QUANT!B62</f>
        <v>TRANSPORTE DE DRENAGEM</v>
      </c>
      <c r="C62" s="863"/>
      <c r="D62" s="897"/>
      <c r="E62" s="857"/>
      <c r="F62" s="857"/>
      <c r="G62" s="858"/>
    </row>
    <row r="63" spans="1:7">
      <c r="A63" s="863" t="str">
        <f>QUANT!A63</f>
        <v>2 S 09 001 05</v>
      </c>
      <c r="B63" s="893" t="str">
        <f>QUANT!B63</f>
        <v>Transporte local em rodovia não pavimentada (constr.)</v>
      </c>
      <c r="C63" s="863" t="str">
        <f>QUANT!C63</f>
        <v>txkm</v>
      </c>
      <c r="D63" s="897">
        <f>QUANT!D63</f>
        <v>1876.7999999999997</v>
      </c>
      <c r="E63" s="899">
        <f>TRUNC((0.8*(1+($D$6))),2)</f>
        <v>1.02</v>
      </c>
      <c r="F63" s="857">
        <f>TRUNC(((D63*E63*100)/100),2)</f>
        <v>1914.33</v>
      </c>
      <c r="G63" s="858"/>
    </row>
    <row r="64" spans="1:7">
      <c r="A64" s="863" t="str">
        <f>QUANT!A64</f>
        <v>2 S 09 001 91</v>
      </c>
      <c r="B64" s="893" t="str">
        <f>QUANT!B64</f>
        <v>Transporte comercial de areia/brita rod. não pavimentada</v>
      </c>
      <c r="C64" s="863" t="str">
        <f>QUANT!C64</f>
        <v>txkm</v>
      </c>
      <c r="D64" s="897">
        <f>QUANT!D64</f>
        <v>8028.6740579999996</v>
      </c>
      <c r="E64" s="899">
        <f>TRUNC((0.63*(1+($D$6))),2)</f>
        <v>0.8</v>
      </c>
      <c r="F64" s="857">
        <f>TRUNC(((D64*E64*100)/100),2)</f>
        <v>6422.93</v>
      </c>
      <c r="G64" s="858"/>
    </row>
    <row r="65" spans="1:7">
      <c r="A65" s="863" t="str">
        <f>QUANT!A65</f>
        <v>2 S 09 002 91</v>
      </c>
      <c r="B65" s="893" t="str">
        <f>QUANT!B65</f>
        <v>Transporte comercial de areia/brita/cimento/aço rod. pavimentada</v>
      </c>
      <c r="C65" s="863" t="str">
        <f>QUANT!C65</f>
        <v>txkm</v>
      </c>
      <c r="D65" s="897">
        <f>QUANT!D65</f>
        <v>82459.959999999992</v>
      </c>
      <c r="E65" s="899">
        <f>TRUNC((0.42*(1+($D$6))),2)</f>
        <v>0.53</v>
      </c>
      <c r="F65" s="857">
        <f>TRUNC(((D65*E65*100)/100),2)</f>
        <v>43703.77</v>
      </c>
      <c r="G65" s="858">
        <f>SUM(F62:F65)</f>
        <v>52041.03</v>
      </c>
    </row>
    <row r="66" spans="1:7">
      <c r="A66" s="865"/>
      <c r="B66" s="820"/>
      <c r="C66" s="821"/>
      <c r="D66" s="866"/>
      <c r="E66" s="857"/>
      <c r="F66" s="857"/>
      <c r="G66" s="858"/>
    </row>
    <row r="67" spans="1:7">
      <c r="A67" s="856" t="str">
        <f>QUANT!A67</f>
        <v>VII</v>
      </c>
      <c r="B67" s="813" t="str">
        <f>QUANT!B67</f>
        <v>OBRAS DE ARTE CORRENTES</v>
      </c>
      <c r="C67" s="821"/>
      <c r="D67" s="866"/>
      <c r="E67" s="857"/>
      <c r="F67" s="857"/>
      <c r="G67" s="858"/>
    </row>
    <row r="68" spans="1:7">
      <c r="A68" s="863" t="str">
        <f>QUANT!A68</f>
        <v>4 S 06 200 01</v>
      </c>
      <c r="B68" s="893" t="str">
        <f>QUANT!B68</f>
        <v xml:space="preserve"> Forn. e implantação placa sinaliz. semi-refletiva (desvio de tráfego)</v>
      </c>
      <c r="C68" s="863" t="str">
        <f>QUANT!C68</f>
        <v>m²</v>
      </c>
      <c r="D68" s="897">
        <f>QUANT!D68</f>
        <v>22</v>
      </c>
      <c r="E68" s="899">
        <f>TRUNC((243.73*(1+($D$6))),2)</f>
        <v>312.22000000000003</v>
      </c>
      <c r="F68" s="857">
        <f t="shared" ref="F68:F77" si="4">TRUNC(((D68*E68*100)/100),2)</f>
        <v>6868.84</v>
      </c>
      <c r="G68" s="858"/>
    </row>
    <row r="69" spans="1:7">
      <c r="A69" s="863" t="str">
        <f>QUANT!A69</f>
        <v>2 S 04 001 00</v>
      </c>
      <c r="B69" s="893" t="str">
        <f>QUANT!B69</f>
        <v>Escavação mecaniz de vala em material de 1ª cat. (implantação bueiros)</v>
      </c>
      <c r="C69" s="863" t="str">
        <f>QUANT!C69</f>
        <v>m³</v>
      </c>
      <c r="D69" s="897">
        <f>QUANT!D69</f>
        <v>532.02999999999975</v>
      </c>
      <c r="E69" s="899">
        <f>TRUNC((5.58*(1+($D$6))),2)</f>
        <v>7.14</v>
      </c>
      <c r="F69" s="857">
        <f t="shared" si="4"/>
        <v>3798.69</v>
      </c>
      <c r="G69" s="858"/>
    </row>
    <row r="70" spans="1:7">
      <c r="A70" s="863" t="str">
        <f>QUANT!A70</f>
        <v>3 S 01 200 00</v>
      </c>
      <c r="B70" s="893" t="str">
        <f>QUANT!B70</f>
        <v>Escav. E carga de mat. Jazida -(Inclusive Indenização de Jazida)-(Rodov. Não pav.)</v>
      </c>
      <c r="C70" s="863" t="str">
        <f>QUANT!C70</f>
        <v>m³</v>
      </c>
      <c r="D70" s="897">
        <f>QUANT!D70</f>
        <v>446.90400000000045</v>
      </c>
      <c r="E70" s="899">
        <f>TRUNC((8.11*(1+($D$6))),2)</f>
        <v>10.38</v>
      </c>
      <c r="F70" s="857">
        <f t="shared" si="4"/>
        <v>4638.8599999999997</v>
      </c>
      <c r="G70" s="858"/>
    </row>
    <row r="71" spans="1:7">
      <c r="A71" s="863" t="str">
        <f>QUANT!A71</f>
        <v>3 S 03 940 01</v>
      </c>
      <c r="B71" s="893" t="str">
        <f>QUANT!B71</f>
        <v>Reaterro e compcatação p/bueiro (Bueiros implantados)</v>
      </c>
      <c r="C71" s="863" t="str">
        <f>QUANT!C71</f>
        <v>m³</v>
      </c>
      <c r="D71" s="897">
        <f>QUANT!D71</f>
        <v>372.42000000000007</v>
      </c>
      <c r="E71" s="899">
        <f>TRUNC((24.26*(1+($D$6))),2)</f>
        <v>31.07</v>
      </c>
      <c r="F71" s="857">
        <f t="shared" si="4"/>
        <v>11571.08</v>
      </c>
      <c r="G71" s="858"/>
    </row>
    <row r="72" spans="1:7">
      <c r="A72" s="863" t="s">
        <v>889</v>
      </c>
      <c r="B72" s="893" t="str">
        <f>QUANT!B72</f>
        <v>Enrocamento de pedra jogada - PC</v>
      </c>
      <c r="C72" s="863" t="str">
        <f>QUANT!C72</f>
        <v>m³</v>
      </c>
      <c r="D72" s="897">
        <f>QUANT!D72</f>
        <v>200</v>
      </c>
      <c r="E72" s="899">
        <f>TRUNC((80.5*(1+($D$6))),2)</f>
        <v>103.12</v>
      </c>
      <c r="F72" s="857">
        <f t="shared" si="4"/>
        <v>20624</v>
      </c>
      <c r="G72" s="858"/>
    </row>
    <row r="73" spans="1:7">
      <c r="A73" s="863" t="str">
        <f>QUANT!A73</f>
        <v>2 S 04 100 53</v>
      </c>
      <c r="B73" s="893" t="str">
        <f>QUANT!B73</f>
        <v>Corpo BSTC D=1,00 m AC/BC/PC</v>
      </c>
      <c r="C73" s="863" t="str">
        <f>QUANT!C73</f>
        <v>m</v>
      </c>
      <c r="D73" s="897">
        <f>QUANT!D73</f>
        <v>56</v>
      </c>
      <c r="E73" s="899">
        <f>TRUNC((684.77*(1+($D$6))),2)</f>
        <v>877.21</v>
      </c>
      <c r="F73" s="857">
        <f t="shared" si="4"/>
        <v>49123.76</v>
      </c>
      <c r="G73" s="858"/>
    </row>
    <row r="74" spans="1:7">
      <c r="A74" s="863" t="str">
        <f>QUANT!A74</f>
        <v>2 S 04 200 60</v>
      </c>
      <c r="B74" s="893" t="str">
        <f>QUANT!B74</f>
        <v>Corpo BSCC 2,00x2,00 m alt. 2,50 a 5,00m - AC/BC</v>
      </c>
      <c r="C74" s="863" t="str">
        <f>QUANT!C74</f>
        <v>m</v>
      </c>
      <c r="D74" s="897">
        <f>QUANT!D74</f>
        <v>19</v>
      </c>
      <c r="E74" s="899">
        <f>TRUNC((2236.27*(1+($D$6))),2)</f>
        <v>2864.74</v>
      </c>
      <c r="F74" s="857">
        <f t="shared" si="4"/>
        <v>54430.06</v>
      </c>
      <c r="G74" s="858"/>
    </row>
    <row r="75" spans="1:7">
      <c r="A75" s="863" t="str">
        <f>QUANT!A75</f>
        <v>2 S 04 101 53</v>
      </c>
      <c r="B75" s="893" t="str">
        <f>QUANT!B75</f>
        <v>Boca BSTC D=1,00m normal - AC/BC/PC</v>
      </c>
      <c r="C75" s="863" t="str">
        <f>QUANT!C75</f>
        <v>unid</v>
      </c>
      <c r="D75" s="897">
        <f>QUANT!D75</f>
        <v>8</v>
      </c>
      <c r="E75" s="899">
        <f>TRUNC((2274.1*(1+($D$6))),2)</f>
        <v>2913.2</v>
      </c>
      <c r="F75" s="857">
        <f t="shared" si="4"/>
        <v>23305.599999999999</v>
      </c>
      <c r="G75" s="858"/>
    </row>
    <row r="76" spans="1:7">
      <c r="A76" s="863" t="str">
        <f>QUANT!A76</f>
        <v>2 S 04 201 52</v>
      </c>
      <c r="B76" s="893" t="str">
        <f>QUANT!B76</f>
        <v>Boca BSCC 2,00x2,00 m normal - AC/BC</v>
      </c>
      <c r="C76" s="863" t="str">
        <f>QUANT!C76</f>
        <v>unid</v>
      </c>
      <c r="D76" s="897">
        <f>QUANT!D76</f>
        <v>1</v>
      </c>
      <c r="E76" s="899">
        <f>TRUNC((14217.73*(1+($D$6))),2)</f>
        <v>18213.45</v>
      </c>
      <c r="F76" s="857">
        <f t="shared" si="4"/>
        <v>18213.45</v>
      </c>
      <c r="G76" s="858"/>
    </row>
    <row r="77" spans="1:7">
      <c r="A77" s="863" t="str">
        <f>QUANT!A77</f>
        <v>5 S 04 999 01</v>
      </c>
      <c r="B77" s="893" t="str">
        <f>QUANT!B77</f>
        <v>Remoção de bueiros existentes</v>
      </c>
      <c r="C77" s="863" t="str">
        <f>QUANT!C77</f>
        <v>m</v>
      </c>
      <c r="D77" s="897">
        <f>QUANT!D77</f>
        <v>16</v>
      </c>
      <c r="E77" s="899">
        <f>TRUNC((66.9*(1+($D$6))),2)</f>
        <v>85.7</v>
      </c>
      <c r="F77" s="857">
        <f t="shared" si="4"/>
        <v>1371.2</v>
      </c>
      <c r="G77" s="858">
        <f>SUM(F68:F77)</f>
        <v>193945.54000000004</v>
      </c>
    </row>
    <row r="78" spans="1:7">
      <c r="A78" s="863"/>
      <c r="B78" s="820"/>
      <c r="C78" s="821"/>
      <c r="D78" s="866"/>
      <c r="E78" s="857"/>
      <c r="F78" s="857"/>
      <c r="G78" s="858"/>
    </row>
    <row r="79" spans="1:7">
      <c r="A79" s="894" t="str">
        <f>QUANT!A79</f>
        <v>VIII</v>
      </c>
      <c r="B79" s="868" t="str">
        <f>QUANT!B79</f>
        <v>TRANSPORTE DE OBRAS DE ARTES CORRENTES</v>
      </c>
      <c r="C79" s="821"/>
      <c r="D79" s="866"/>
      <c r="E79" s="857"/>
      <c r="F79" s="857"/>
      <c r="G79" s="858"/>
    </row>
    <row r="80" spans="1:7">
      <c r="A80" s="863" t="str">
        <f>QUANT!A80</f>
        <v>2 S 09 001 05</v>
      </c>
      <c r="B80" s="893" t="str">
        <f>QUANT!B80</f>
        <v>Transporte local em rodovia não pavimentada (constr.)</v>
      </c>
      <c r="C80" s="863" t="str">
        <f>QUANT!C80</f>
        <v>txkm</v>
      </c>
      <c r="D80" s="897">
        <f>QUANT!D80</f>
        <v>4531.6799168000016</v>
      </c>
      <c r="E80" s="899">
        <f>TRUNC((0.8*(1+($D$6))),2)</f>
        <v>1.02</v>
      </c>
      <c r="F80" s="857">
        <f>TRUNC(((D80*E80*100)/100),2)</f>
        <v>4622.3100000000004</v>
      </c>
      <c r="G80" s="858"/>
    </row>
    <row r="81" spans="1:7">
      <c r="A81" s="863" t="str">
        <f>QUANT!A81</f>
        <v>2 S 09 001 91</v>
      </c>
      <c r="B81" s="893" t="str">
        <f>QUANT!B81</f>
        <v>Transporte comercial de areia/brita rod. não pavimentada</v>
      </c>
      <c r="C81" s="863" t="str">
        <f>QUANT!C81</f>
        <v>txkm</v>
      </c>
      <c r="D81" s="897">
        <f>QUANT!D81</f>
        <v>2513.8710000000001</v>
      </c>
      <c r="E81" s="899">
        <f>TRUNC((0.63*(1+($D$6))),2)</f>
        <v>0.8</v>
      </c>
      <c r="F81" s="857">
        <f>TRUNC(((D81*E81*100)/100),2)</f>
        <v>2011.09</v>
      </c>
      <c r="G81" s="858"/>
    </row>
    <row r="82" spans="1:7">
      <c r="A82" s="863" t="str">
        <f>QUANT!A82</f>
        <v>2 S 09 002 91</v>
      </c>
      <c r="B82" s="893" t="str">
        <f>QUANT!B82</f>
        <v>Transporte comercial de areia/brita/cimento/aço rod. pavimentada</v>
      </c>
      <c r="C82" s="863" t="str">
        <f>QUANT!C82</f>
        <v>txkm</v>
      </c>
      <c r="D82" s="897">
        <f>QUANT!D82</f>
        <v>25638.869999999988</v>
      </c>
      <c r="E82" s="899">
        <f>TRUNC((0.42*(1+($D$6))),2)</f>
        <v>0.53</v>
      </c>
      <c r="F82" s="857">
        <f>TRUNC(((D82*E82*100)/100),2)</f>
        <v>13588.6</v>
      </c>
      <c r="G82" s="858">
        <f>SUM(F80:F82)</f>
        <v>20222</v>
      </c>
    </row>
    <row r="83" spans="1:7">
      <c r="A83" s="863"/>
      <c r="B83" s="820"/>
      <c r="C83" s="821"/>
      <c r="D83" s="866"/>
      <c r="E83" s="857"/>
      <c r="F83" s="857"/>
      <c r="G83" s="858"/>
    </row>
    <row r="84" spans="1:7">
      <c r="A84" s="894" t="str">
        <f>QUANT!A84</f>
        <v>IX</v>
      </c>
      <c r="B84" s="868" t="str">
        <f>QUANT!B84</f>
        <v>SINALIZAÇÃO</v>
      </c>
      <c r="C84" s="821"/>
      <c r="D84" s="866"/>
      <c r="E84" s="857"/>
      <c r="F84" s="857"/>
      <c r="G84" s="858"/>
    </row>
    <row r="85" spans="1:7">
      <c r="A85" s="863" t="str">
        <f>QUANT!A85</f>
        <v>4 S 06 100 21</v>
      </c>
      <c r="B85" s="893" t="str">
        <f>QUANT!B85</f>
        <v>Pintura faixa - tinta base acrílica p/ 2 anos</v>
      </c>
      <c r="C85" s="863" t="str">
        <f>QUANT!C85</f>
        <v>m²</v>
      </c>
      <c r="D85" s="897">
        <f>QUANT!D85</f>
        <v>2136.3166499999998</v>
      </c>
      <c r="E85" s="899">
        <f>TRUNC((23.18*(1+($D$6))),2)</f>
        <v>29.69</v>
      </c>
      <c r="F85" s="857">
        <f>TRUNC(((D85*E85*100)/100),2)</f>
        <v>63427.24</v>
      </c>
      <c r="G85" s="858"/>
    </row>
    <row r="86" spans="1:7">
      <c r="A86" s="863" t="str">
        <f>QUANT!A86</f>
        <v>4 S 06 100 22</v>
      </c>
      <c r="B86" s="893" t="str">
        <f>QUANT!B86</f>
        <v>Pintura setas e zebrados - tinta acrílica - 2 anos.</v>
      </c>
      <c r="C86" s="863" t="str">
        <f>QUANT!C86</f>
        <v>m²</v>
      </c>
      <c r="D86" s="897">
        <f>QUANT!D86</f>
        <v>143.56</v>
      </c>
      <c r="E86" s="899">
        <f>TRUNC((30.38*(1+($D$6))),2)</f>
        <v>38.909999999999997</v>
      </c>
      <c r="F86" s="857">
        <f>TRUNC(((D86*E86*100)/100),2)</f>
        <v>5585.91</v>
      </c>
      <c r="G86" s="858"/>
    </row>
    <row r="87" spans="1:7">
      <c r="A87" s="863" t="str">
        <f>QUANT!A87</f>
        <v>4 S 06 200 02</v>
      </c>
      <c r="B87" s="893" t="str">
        <f>QUANT!B87</f>
        <v>Forn. e implant.de placa de sinalização totalm. reflexiva.</v>
      </c>
      <c r="C87" s="863" t="str">
        <f>QUANT!C87</f>
        <v>m²</v>
      </c>
      <c r="D87" s="897">
        <f>QUANT!D87</f>
        <v>50.27</v>
      </c>
      <c r="E87" s="899">
        <f>TRUNC((338.28*(1+($D$6))),2)</f>
        <v>433.34</v>
      </c>
      <c r="F87" s="857">
        <f>TRUNC(((D87*E87*100)/100),2)</f>
        <v>21784</v>
      </c>
      <c r="G87" s="858"/>
    </row>
    <row r="88" spans="1:7">
      <c r="A88" s="863" t="str">
        <f>QUANT!A88</f>
        <v>4 S 06 121 01</v>
      </c>
      <c r="B88" s="893" t="str">
        <f>QUANT!B88</f>
        <v>Forn. e colocação de tacha reflet. bidirecional</v>
      </c>
      <c r="C88" s="863" t="str">
        <f>QUANT!C88</f>
        <v>unid</v>
      </c>
      <c r="D88" s="897">
        <f>QUANT!D88</f>
        <v>550</v>
      </c>
      <c r="E88" s="899">
        <f>TRUNC((16.81*(1+($D$6))),2)</f>
        <v>21.53</v>
      </c>
      <c r="F88" s="857">
        <f>TRUNC(((D88*E88*100)/100),2)</f>
        <v>11841.5</v>
      </c>
      <c r="G88" s="858"/>
    </row>
    <row r="89" spans="1:7">
      <c r="A89" s="863" t="str">
        <f>QUANT!A89</f>
        <v>4 S 06 121 11</v>
      </c>
      <c r="B89" s="893" t="str">
        <f>QUANT!B89</f>
        <v>Forn. e colocação de tachão reflet. bidirecional</v>
      </c>
      <c r="C89" s="863" t="str">
        <f>QUANT!C89</f>
        <v>unid</v>
      </c>
      <c r="D89" s="897">
        <f>QUANT!D89</f>
        <v>19</v>
      </c>
      <c r="E89" s="899">
        <f>TRUNC((43.16*(1+($D$6))),2)</f>
        <v>55.28</v>
      </c>
      <c r="F89" s="857">
        <f>TRUNC(((D89*E89*100)/100),2)</f>
        <v>1050.32</v>
      </c>
      <c r="G89" s="858">
        <f>SUM(F85:F89)</f>
        <v>103688.97</v>
      </c>
    </row>
    <row r="90" spans="1:7">
      <c r="A90" s="856"/>
      <c r="B90" s="844"/>
      <c r="C90" s="845"/>
      <c r="D90" s="871"/>
      <c r="E90" s="845"/>
      <c r="F90" s="857"/>
      <c r="G90" s="845"/>
    </row>
    <row r="91" spans="1:7">
      <c r="A91" s="856" t="str">
        <f>QUANT!A91</f>
        <v>X</v>
      </c>
      <c r="B91" s="846" t="str">
        <f>QUANT!B91</f>
        <v>OBRAS COMPLEMENTARES</v>
      </c>
      <c r="C91" s="845"/>
      <c r="D91" s="871"/>
      <c r="E91" s="845"/>
      <c r="F91" s="857"/>
      <c r="G91" s="845"/>
    </row>
    <row r="92" spans="1:7">
      <c r="A92" s="865" t="str">
        <f>QUANT!A92</f>
        <v xml:space="preserve">2 S 06 410 00 </v>
      </c>
      <c r="B92" s="896" t="str">
        <f>QUANT!B92</f>
        <v>Cercas de arame farpado com suporte de madeira</v>
      </c>
      <c r="C92" s="865" t="str">
        <f>QUANT!C92</f>
        <v>m</v>
      </c>
      <c r="D92" s="897">
        <f>QUANT!D92</f>
        <v>5200</v>
      </c>
      <c r="E92" s="899">
        <f>TRUNC((14.41*(1+($D$6))),2)</f>
        <v>18.45</v>
      </c>
      <c r="F92" s="857">
        <f>TRUNC(((D92*E92*100)/100),2)</f>
        <v>95940</v>
      </c>
      <c r="G92" s="872"/>
    </row>
    <row r="93" spans="1:7">
      <c r="A93" s="865" t="str">
        <f>QUANT!A93</f>
        <v>5 S 05 102 00</v>
      </c>
      <c r="B93" s="896" t="str">
        <f>QUANT!B93</f>
        <v>Hidrossemeadura</v>
      </c>
      <c r="C93" s="865" t="str">
        <f>QUANT!C93</f>
        <v>m²</v>
      </c>
      <c r="D93" s="897">
        <f>QUANT!D93</f>
        <v>43820.782999999996</v>
      </c>
      <c r="E93" s="899">
        <f>TRUNC((1.12*(1+($D$6))),2)</f>
        <v>1.43</v>
      </c>
      <c r="F93" s="857">
        <f>TRUNC(((D93*E93*100)/100),2)</f>
        <v>62663.71</v>
      </c>
      <c r="G93" s="872">
        <f>SUM(F92:F93)</f>
        <v>158603.71</v>
      </c>
    </row>
    <row r="94" spans="1:7">
      <c r="A94" s="869"/>
      <c r="B94" s="831"/>
      <c r="C94" s="822"/>
      <c r="D94" s="866"/>
      <c r="E94" s="857"/>
      <c r="F94" s="857"/>
      <c r="G94" s="858"/>
    </row>
    <row r="95" spans="1:7">
      <c r="A95" s="856" t="str">
        <f>QUANT!A95</f>
        <v>XI</v>
      </c>
      <c r="B95" s="846" t="str">
        <f>QUANT!B95</f>
        <v>RECUPERAÇÃO AMBIENTAL</v>
      </c>
      <c r="C95" s="822"/>
      <c r="D95" s="866"/>
      <c r="E95" s="857"/>
      <c r="F95" s="857"/>
      <c r="G95" s="858"/>
    </row>
    <row r="96" spans="1:7">
      <c r="A96" s="869" t="str">
        <f>QUANT!A96</f>
        <v>2 S 04 400 01</v>
      </c>
      <c r="B96" s="889" t="str">
        <f>QUANT!B96</f>
        <v>Valeta prot. cortes c/ revest. vegetal - VPC 01</v>
      </c>
      <c r="C96" s="869" t="str">
        <f>QUANT!C96</f>
        <v>m</v>
      </c>
      <c r="D96" s="891">
        <f>QUANT!D96</f>
        <v>258</v>
      </c>
      <c r="E96" s="899">
        <f>TRUNC((76.4*(1+($D$6))),2)</f>
        <v>97.87</v>
      </c>
      <c r="F96" s="857">
        <f>TRUNC(((D96*E96*100)/100),2)</f>
        <v>25250.46</v>
      </c>
      <c r="G96" s="858"/>
    </row>
    <row r="97" spans="1:7">
      <c r="A97" s="869" t="str">
        <f>QUANT!A97</f>
        <v>3 S 01 930 00</v>
      </c>
      <c r="B97" s="889" t="str">
        <f>QUANT!B97</f>
        <v>Regularização mecânica de superfície do terreno (cx. de emprést. e jazidas)</v>
      </c>
      <c r="C97" s="869" t="str">
        <f>QUANT!C97</f>
        <v>m²</v>
      </c>
      <c r="D97" s="891">
        <f>QUANT!D97</f>
        <v>135909.69199999998</v>
      </c>
      <c r="E97" s="899">
        <f>TRUNC((0.21*(1+($D$6))),2)</f>
        <v>0.26</v>
      </c>
      <c r="F97" s="857">
        <f>TRUNC(((D97*E97*100)/100),2)</f>
        <v>35336.51</v>
      </c>
      <c r="G97" s="858"/>
    </row>
    <row r="98" spans="1:7">
      <c r="A98" s="869" t="str">
        <f>QUANT!A98</f>
        <v>5 S 05 102 00</v>
      </c>
      <c r="B98" s="817" t="str">
        <f>QUANT!B98</f>
        <v>Hidrossemeadura</v>
      </c>
      <c r="C98" s="836" t="str">
        <f>QUANT!C98</f>
        <v>m²</v>
      </c>
      <c r="D98" s="898">
        <f>QUANT!D98</f>
        <v>73950</v>
      </c>
      <c r="E98" s="899">
        <f>TRUNC((1.12*(1+($D$6))),2)</f>
        <v>1.43</v>
      </c>
      <c r="F98" s="857">
        <f>TRUNC(((D98*E98*100)/100),2)</f>
        <v>105748.5</v>
      </c>
      <c r="G98" s="858">
        <f>SUM(F96:F98)</f>
        <v>166335.47</v>
      </c>
    </row>
    <row r="99" spans="1:7">
      <c r="A99" s="869"/>
      <c r="B99" s="817"/>
      <c r="C99" s="822"/>
      <c r="D99" s="866"/>
      <c r="E99" s="861"/>
      <c r="F99" s="857"/>
      <c r="G99" s="858"/>
    </row>
    <row r="100" spans="1:7">
      <c r="A100" s="865"/>
      <c r="B100" s="873" t="s">
        <v>16</v>
      </c>
      <c r="C100" s="821"/>
      <c r="D100" s="874"/>
      <c r="E100" s="857"/>
      <c r="F100" s="857"/>
      <c r="G100" s="875">
        <f>SUM(G17:G98)</f>
        <v>3578925.48</v>
      </c>
    </row>
    <row r="101" spans="1:7">
      <c r="A101" s="876"/>
      <c r="B101" s="877"/>
      <c r="C101" s="878"/>
      <c r="D101" s="879"/>
      <c r="E101" s="880"/>
      <c r="F101" s="880"/>
      <c r="G101" s="881"/>
    </row>
    <row r="102" spans="1:7">
      <c r="B102" s="852"/>
    </row>
    <row r="103" spans="1:7">
      <c r="B103" s="852"/>
    </row>
  </sheetData>
  <mergeCells count="9">
    <mergeCell ref="F8:G8"/>
    <mergeCell ref="A1:B2"/>
    <mergeCell ref="C1:G2"/>
    <mergeCell ref="A8:A9"/>
    <mergeCell ref="B8:B9"/>
    <mergeCell ref="C8:C9"/>
    <mergeCell ref="D8:D9"/>
    <mergeCell ref="F3:G3"/>
    <mergeCell ref="C3:E3"/>
  </mergeCells>
  <printOptions horizontalCentered="1"/>
  <pageMargins left="0.39370078740157483" right="0.31496062992125984" top="0.59055118110236227" bottom="0.39370078740157483" header="0.31496062992125984" footer="0.31496062992125984"/>
  <pageSetup paperSize="9" scale="65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"/>
  <sheetViews>
    <sheetView topLeftCell="A115" workbookViewId="0">
      <selection activeCell="J11" sqref="J11"/>
    </sheetView>
  </sheetViews>
  <sheetFormatPr defaultRowHeight="12.75"/>
  <cols>
    <col min="1" max="1" width="13.7109375" customWidth="1"/>
    <col min="2" max="2" width="59" customWidth="1"/>
    <col min="3" max="3" width="12.7109375" customWidth="1"/>
    <col min="4" max="4" width="12.140625" customWidth="1"/>
    <col min="5" max="5" width="8" customWidth="1"/>
    <col min="6" max="6" width="11.140625" bestFit="1" customWidth="1"/>
    <col min="8" max="8" width="12.85546875" customWidth="1"/>
    <col min="9" max="9" width="9.28515625" bestFit="1" customWidth="1"/>
    <col min="10" max="10" width="18.85546875" customWidth="1"/>
    <col min="12" max="12" width="15.28515625" customWidth="1"/>
  </cols>
  <sheetData>
    <row r="1" spans="1:10">
      <c r="A1" s="519" t="str">
        <f>RESUMO!A46</f>
        <v xml:space="preserve">RODOVIA:  </v>
      </c>
      <c r="B1" s="507" t="str">
        <f>RESUMO!B46</f>
        <v>Acesso ao Distrito Limpo Grande</v>
      </c>
      <c r="C1" s="507"/>
      <c r="D1" s="507"/>
      <c r="E1" s="507"/>
      <c r="F1" s="507"/>
      <c r="G1" s="507"/>
      <c r="H1" s="507"/>
      <c r="I1" s="507"/>
      <c r="J1" s="508"/>
    </row>
    <row r="2" spans="1:10">
      <c r="A2" s="520" t="str">
        <f>RESUMO!A47</f>
        <v xml:space="preserve">TRECHO:  </v>
      </c>
      <c r="B2" s="506" t="str">
        <f>RESUMO!B47</f>
        <v xml:space="preserve"> Entº da MT-351 - Distrito de Limpo Grande</v>
      </c>
      <c r="C2" s="506"/>
      <c r="D2" s="506"/>
      <c r="E2" s="506"/>
      <c r="F2" s="506"/>
      <c r="G2" s="506"/>
      <c r="H2" s="506"/>
      <c r="I2" s="506"/>
      <c r="J2" s="509"/>
    </row>
    <row r="3" spans="1:10">
      <c r="A3" s="922" t="s">
        <v>764</v>
      </c>
      <c r="B3" s="911">
        <f>RESUMO!C43</f>
        <v>4.0734000000000004</v>
      </c>
      <c r="C3" s="506"/>
      <c r="D3" s="506"/>
      <c r="E3" s="506"/>
      <c r="F3" s="506"/>
      <c r="G3" s="506"/>
      <c r="H3" s="506"/>
      <c r="I3" s="506"/>
      <c r="J3" s="509"/>
    </row>
    <row r="4" spans="1:10" ht="9.75" customHeight="1" thickBot="1">
      <c r="A4" s="744"/>
      <c r="B4" s="724"/>
      <c r="C4" s="724"/>
      <c r="D4" s="724"/>
      <c r="E4" s="724"/>
      <c r="F4" s="724"/>
      <c r="G4" s="724"/>
      <c r="H4" s="724"/>
      <c r="I4" s="724"/>
      <c r="J4" s="745"/>
    </row>
    <row r="5" spans="1:10">
      <c r="A5" s="1392" t="str">
        <f>ORÇAMENTO!B31</f>
        <v>PAVIMENTAÇÃO</v>
      </c>
      <c r="B5" s="1393"/>
      <c r="C5" s="1393"/>
      <c r="D5" s="1393"/>
      <c r="E5" s="1393"/>
      <c r="F5" s="1393"/>
      <c r="G5" s="1393"/>
      <c r="H5" s="1393"/>
      <c r="I5" s="1393"/>
      <c r="J5" s="1394"/>
    </row>
    <row r="6" spans="1:10">
      <c r="A6" s="1383" t="s">
        <v>678</v>
      </c>
      <c r="B6" s="1384"/>
      <c r="C6" s="1384"/>
      <c r="D6" s="1384"/>
      <c r="E6" s="1384"/>
      <c r="F6" s="1384"/>
      <c r="G6" s="1384"/>
      <c r="H6" s="1384"/>
      <c r="I6" s="1384"/>
      <c r="J6" s="1385"/>
    </row>
    <row r="7" spans="1:10">
      <c r="A7" s="1389" t="s">
        <v>1</v>
      </c>
      <c r="B7" s="1386" t="s">
        <v>679</v>
      </c>
      <c r="C7" s="1386" t="s">
        <v>680</v>
      </c>
      <c r="D7" s="1386" t="s">
        <v>4</v>
      </c>
      <c r="E7" s="1386" t="s">
        <v>648</v>
      </c>
      <c r="F7" s="1388" t="s">
        <v>681</v>
      </c>
      <c r="G7" s="1388"/>
      <c r="H7" s="1386" t="s">
        <v>682</v>
      </c>
      <c r="I7" s="1386" t="s">
        <v>683</v>
      </c>
      <c r="J7" s="1387" t="s">
        <v>684</v>
      </c>
    </row>
    <row r="8" spans="1:10">
      <c r="A8" s="1389"/>
      <c r="B8" s="1386"/>
      <c r="C8" s="1386"/>
      <c r="D8" s="1386"/>
      <c r="E8" s="1386"/>
      <c r="F8" s="453" t="s">
        <v>685</v>
      </c>
      <c r="G8" s="453" t="s">
        <v>3</v>
      </c>
      <c r="H8" s="1386"/>
      <c r="I8" s="1386"/>
      <c r="J8" s="1387"/>
    </row>
    <row r="9" spans="1:10">
      <c r="A9" s="521" t="str">
        <f>ORÇAMENTO!A33</f>
        <v>COMP.</v>
      </c>
      <c r="B9" s="902" t="str">
        <f>ORÇAMENTO!B33</f>
        <v>Sub-base de solo estabilizado granulometricamente s/mistura</v>
      </c>
      <c r="C9" s="460" t="s">
        <v>686</v>
      </c>
      <c r="D9" s="462">
        <f>ORÇAMENTO!D33</f>
        <v>8651.6899999999987</v>
      </c>
      <c r="E9" s="453" t="s">
        <v>65</v>
      </c>
      <c r="F9" s="453">
        <v>1.84</v>
      </c>
      <c r="G9" s="453" t="s">
        <v>687</v>
      </c>
      <c r="H9" s="748">
        <f>D9*F9</f>
        <v>15919.109599999998</v>
      </c>
      <c r="I9" s="749">
        <v>4.415</v>
      </c>
      <c r="J9" s="522">
        <f>H9*I9</f>
        <v>70282.868883999996</v>
      </c>
    </row>
    <row r="10" spans="1:10">
      <c r="A10" s="521" t="str">
        <f>ORÇAMENTO!A34</f>
        <v>COMP.</v>
      </c>
      <c r="B10" s="902" t="str">
        <f>ORÇAMENTO!B34</f>
        <v>Base de solo estabilizado granulo. s/mistura</v>
      </c>
      <c r="C10" s="460" t="s">
        <v>686</v>
      </c>
      <c r="D10" s="462">
        <f>ORÇAMENTO!D34</f>
        <v>8299.52</v>
      </c>
      <c r="E10" s="453" t="s">
        <v>65</v>
      </c>
      <c r="F10" s="453">
        <v>1.84</v>
      </c>
      <c r="G10" s="453" t="s">
        <v>687</v>
      </c>
      <c r="H10" s="748">
        <f>D10*F10</f>
        <v>15271.116800000002</v>
      </c>
      <c r="I10" s="749">
        <v>4.415</v>
      </c>
      <c r="J10" s="522">
        <f>H10*I10</f>
        <v>67421.980672000005</v>
      </c>
    </row>
    <row r="11" spans="1:10">
      <c r="A11" s="521" t="s">
        <v>20</v>
      </c>
      <c r="B11" s="460"/>
      <c r="C11" s="460"/>
      <c r="D11" s="460"/>
      <c r="E11" s="460"/>
      <c r="F11" s="460"/>
      <c r="G11" s="460"/>
      <c r="H11" s="460"/>
      <c r="I11" s="460"/>
      <c r="J11" s="750">
        <f>SUM(J9:J10)</f>
        <v>137704.849556</v>
      </c>
    </row>
    <row r="12" spans="1:10">
      <c r="A12" s="521"/>
      <c r="B12" s="460"/>
      <c r="C12" s="460"/>
      <c r="D12" s="460"/>
      <c r="E12" s="460"/>
      <c r="F12" s="460"/>
      <c r="G12" s="460"/>
      <c r="H12" s="460"/>
      <c r="I12" s="460"/>
      <c r="J12" s="522"/>
    </row>
    <row r="13" spans="1:10">
      <c r="A13" s="1390" t="s">
        <v>697</v>
      </c>
      <c r="B13" s="1391"/>
      <c r="C13" s="1391"/>
      <c r="D13" s="1391"/>
      <c r="E13" s="1391"/>
      <c r="F13" s="1391"/>
      <c r="G13" s="1391"/>
      <c r="H13" s="1391"/>
      <c r="I13" s="460"/>
      <c r="J13" s="522"/>
    </row>
    <row r="14" spans="1:10">
      <c r="A14" s="1389" t="s">
        <v>1</v>
      </c>
      <c r="B14" s="1386" t="s">
        <v>679</v>
      </c>
      <c r="C14" s="1386" t="s">
        <v>680</v>
      </c>
      <c r="D14" s="1386" t="s">
        <v>4</v>
      </c>
      <c r="E14" s="1386" t="s">
        <v>648</v>
      </c>
      <c r="F14" s="1388" t="s">
        <v>681</v>
      </c>
      <c r="G14" s="1388"/>
      <c r="H14" s="1386" t="s">
        <v>682</v>
      </c>
      <c r="I14" s="1386" t="s">
        <v>683</v>
      </c>
      <c r="J14" s="1387" t="s">
        <v>684</v>
      </c>
    </row>
    <row r="15" spans="1:10">
      <c r="A15" s="1389"/>
      <c r="B15" s="1386"/>
      <c r="C15" s="1386"/>
      <c r="D15" s="1386"/>
      <c r="E15" s="1386"/>
      <c r="F15" s="908" t="s">
        <v>685</v>
      </c>
      <c r="G15" s="908" t="s">
        <v>3</v>
      </c>
      <c r="H15" s="1386"/>
      <c r="I15" s="1386"/>
      <c r="J15" s="1387"/>
    </row>
    <row r="16" spans="1:10">
      <c r="A16" s="521" t="str">
        <f>ORÇAMENTO!A36</f>
        <v>2 S 02 500 52</v>
      </c>
      <c r="B16" s="902" t="str">
        <f>ORÇAMENTO!B36</f>
        <v xml:space="preserve"> Tratamento superficial simples c/ banho diluído - BC</v>
      </c>
      <c r="C16" s="460" t="s">
        <v>689</v>
      </c>
      <c r="D16" s="462">
        <f>ORÇAMENTO!D36</f>
        <v>5800</v>
      </c>
      <c r="E16" s="908" t="s">
        <v>73</v>
      </c>
      <c r="F16" s="908">
        <v>1.2E-2</v>
      </c>
      <c r="G16" s="908" t="s">
        <v>698</v>
      </c>
      <c r="H16" s="748">
        <f>D16*F16</f>
        <v>69.600000000000009</v>
      </c>
      <c r="I16" s="908">
        <v>6</v>
      </c>
      <c r="J16" s="522">
        <f>H16*I16</f>
        <v>417.6</v>
      </c>
    </row>
    <row r="17" spans="1:10">
      <c r="A17" s="521" t="str">
        <f>ORÇAMENTO!A37</f>
        <v>2 S 02 501 52</v>
      </c>
      <c r="B17" s="902" t="str">
        <f>ORÇAMENTO!B37</f>
        <v xml:space="preserve"> Tratamento superficial duplo c/ banho diluído - BC</v>
      </c>
      <c r="C17" s="460" t="s">
        <v>689</v>
      </c>
      <c r="D17" s="462">
        <f>ORÇAMENTO!D37</f>
        <v>28988.7</v>
      </c>
      <c r="E17" s="908" t="s">
        <v>73</v>
      </c>
      <c r="F17" s="908">
        <v>3.6999999999999998E-2</v>
      </c>
      <c r="G17" s="908" t="s">
        <v>698</v>
      </c>
      <c r="H17" s="748">
        <f>D17*F17</f>
        <v>1072.5818999999999</v>
      </c>
      <c r="I17" s="908">
        <v>6</v>
      </c>
      <c r="J17" s="522">
        <f>H17*I17</f>
        <v>6435.491399999999</v>
      </c>
    </row>
    <row r="18" spans="1:10">
      <c r="A18" s="521" t="s">
        <v>20</v>
      </c>
      <c r="B18" s="460"/>
      <c r="C18" s="460"/>
      <c r="D18" s="460"/>
      <c r="E18" s="460"/>
      <c r="F18" s="460"/>
      <c r="G18" s="460"/>
      <c r="H18" s="460"/>
      <c r="I18" s="460"/>
      <c r="J18" s="750">
        <f>SUM(J16:J17)</f>
        <v>6853.0913999999993</v>
      </c>
    </row>
    <row r="19" spans="1:10">
      <c r="A19" s="521"/>
      <c r="B19" s="460"/>
      <c r="C19" s="460"/>
      <c r="D19" s="460"/>
      <c r="E19" s="460"/>
      <c r="F19" s="460"/>
      <c r="G19" s="460"/>
      <c r="H19" s="460"/>
      <c r="I19" s="460"/>
      <c r="J19" s="522"/>
    </row>
    <row r="20" spans="1:10">
      <c r="A20" s="1383" t="s">
        <v>688</v>
      </c>
      <c r="B20" s="1384"/>
      <c r="C20" s="1384"/>
      <c r="D20" s="1384"/>
      <c r="E20" s="1384"/>
      <c r="F20" s="1384"/>
      <c r="G20" s="1384"/>
      <c r="H20" s="1384"/>
      <c r="I20" s="1384"/>
      <c r="J20" s="1385"/>
    </row>
    <row r="21" spans="1:10">
      <c r="A21" s="746"/>
      <c r="B21" s="460"/>
      <c r="C21" s="460"/>
      <c r="D21" s="460"/>
      <c r="E21" s="460"/>
      <c r="F21" s="460"/>
      <c r="G21" s="460"/>
      <c r="H21" s="460"/>
      <c r="I21" s="460"/>
      <c r="J21" s="747"/>
    </row>
    <row r="22" spans="1:10">
      <c r="A22" s="1389" t="s">
        <v>1</v>
      </c>
      <c r="B22" s="1386" t="s">
        <v>679</v>
      </c>
      <c r="C22" s="1386" t="s">
        <v>680</v>
      </c>
      <c r="D22" s="1386" t="s">
        <v>4</v>
      </c>
      <c r="E22" s="1386" t="s">
        <v>648</v>
      </c>
      <c r="F22" s="1388" t="s">
        <v>681</v>
      </c>
      <c r="G22" s="1388"/>
      <c r="H22" s="1386" t="s">
        <v>682</v>
      </c>
      <c r="I22" s="1386" t="s">
        <v>683</v>
      </c>
      <c r="J22" s="1387" t="s">
        <v>684</v>
      </c>
    </row>
    <row r="23" spans="1:10">
      <c r="A23" s="1389"/>
      <c r="B23" s="1386"/>
      <c r="C23" s="1386"/>
      <c r="D23" s="1386"/>
      <c r="E23" s="1386"/>
      <c r="F23" s="908" t="s">
        <v>685</v>
      </c>
      <c r="G23" s="908" t="s">
        <v>3</v>
      </c>
      <c r="H23" s="1386"/>
      <c r="I23" s="1386"/>
      <c r="J23" s="1387"/>
    </row>
    <row r="24" spans="1:10">
      <c r="A24" s="521" t="str">
        <f>ORÇAMENTO!A36</f>
        <v>2 S 02 500 52</v>
      </c>
      <c r="B24" s="902" t="str">
        <f>ORÇAMENTO!B36</f>
        <v xml:space="preserve"> Tratamento superficial simples c/ banho diluído - BC</v>
      </c>
      <c r="C24" s="460" t="s">
        <v>689</v>
      </c>
      <c r="D24" s="462">
        <f>ORÇAMENTO!D36</f>
        <v>5800</v>
      </c>
      <c r="E24" s="908" t="s">
        <v>73</v>
      </c>
      <c r="F24" s="908">
        <v>1.2E-2</v>
      </c>
      <c r="G24" s="908" t="s">
        <v>698</v>
      </c>
      <c r="H24" s="748">
        <f>D24*F24</f>
        <v>69.600000000000009</v>
      </c>
      <c r="I24" s="907">
        <v>56</v>
      </c>
      <c r="J24" s="522">
        <f>INT(H24*I24*100)/100</f>
        <v>3897.6</v>
      </c>
    </row>
    <row r="25" spans="1:10">
      <c r="A25" s="521" t="str">
        <f>ORÇAMENTO!A37</f>
        <v>2 S 02 501 52</v>
      </c>
      <c r="B25" s="902" t="str">
        <f>ORÇAMENTO!B37</f>
        <v xml:space="preserve"> Tratamento superficial duplo c/ banho diluído - BC</v>
      </c>
      <c r="C25" s="460" t="s">
        <v>689</v>
      </c>
      <c r="D25" s="462">
        <f>ORÇAMENTO!D37</f>
        <v>28988.7</v>
      </c>
      <c r="E25" s="908" t="s">
        <v>73</v>
      </c>
      <c r="F25" s="908">
        <v>3.6999999999999998E-2</v>
      </c>
      <c r="G25" s="908" t="s">
        <v>698</v>
      </c>
      <c r="H25" s="748">
        <f>D25*F25</f>
        <v>1072.5818999999999</v>
      </c>
      <c r="I25" s="908">
        <v>56</v>
      </c>
      <c r="J25" s="522">
        <f>INT(H25*I25*100)/100</f>
        <v>60064.58</v>
      </c>
    </row>
    <row r="26" spans="1:10">
      <c r="A26" s="521" t="s">
        <v>20</v>
      </c>
      <c r="B26" s="460"/>
      <c r="C26" s="460"/>
      <c r="D26" s="460"/>
      <c r="E26" s="460"/>
      <c r="F26" s="460"/>
      <c r="G26" s="460"/>
      <c r="H26" s="460"/>
      <c r="I26" s="460"/>
      <c r="J26" s="750">
        <f>SUM(J24:J25)</f>
        <v>63962.18</v>
      </c>
    </row>
    <row r="27" spans="1:10">
      <c r="A27" s="521"/>
      <c r="B27" s="460"/>
      <c r="C27" s="460"/>
      <c r="D27" s="460"/>
      <c r="E27" s="460"/>
      <c r="F27" s="460"/>
      <c r="G27" s="460"/>
      <c r="H27" s="460"/>
      <c r="I27" s="460"/>
      <c r="J27" s="522"/>
    </row>
    <row r="28" spans="1:10">
      <c r="A28" s="1383" t="str">
        <f>ORÇAMENTO!B48</f>
        <v>DRENAGEM</v>
      </c>
      <c r="B28" s="1384"/>
      <c r="C28" s="1384"/>
      <c r="D28" s="1384"/>
      <c r="E28" s="1384"/>
      <c r="F28" s="1384"/>
      <c r="G28" s="1384"/>
      <c r="H28" s="1384"/>
      <c r="I28" s="1384"/>
      <c r="J28" s="1385"/>
    </row>
    <row r="29" spans="1:10">
      <c r="A29" s="904"/>
      <c r="B29" s="905"/>
      <c r="C29" s="905"/>
      <c r="D29" s="905"/>
      <c r="E29" s="905"/>
      <c r="F29" s="905"/>
      <c r="G29" s="905"/>
      <c r="H29" s="905"/>
      <c r="I29" s="905"/>
      <c r="J29" s="906"/>
    </row>
    <row r="30" spans="1:10">
      <c r="A30" s="1383" t="s">
        <v>678</v>
      </c>
      <c r="B30" s="1384"/>
      <c r="C30" s="1384"/>
      <c r="D30" s="1384"/>
      <c r="E30" s="1384"/>
      <c r="F30" s="1384"/>
      <c r="G30" s="1384"/>
      <c r="H30" s="1384"/>
      <c r="I30" s="1384"/>
      <c r="J30" s="1385"/>
    </row>
    <row r="31" spans="1:10">
      <c r="A31" s="746"/>
      <c r="B31" s="460"/>
      <c r="C31" s="460"/>
      <c r="D31" s="460"/>
      <c r="E31" s="460"/>
      <c r="F31" s="460"/>
      <c r="G31" s="460"/>
      <c r="H31" s="460"/>
      <c r="I31" s="460"/>
      <c r="J31" s="747"/>
    </row>
    <row r="32" spans="1:10">
      <c r="A32" s="1389" t="s">
        <v>1</v>
      </c>
      <c r="B32" s="1386" t="s">
        <v>679</v>
      </c>
      <c r="C32" s="1386" t="s">
        <v>680</v>
      </c>
      <c r="D32" s="1386" t="s">
        <v>4</v>
      </c>
      <c r="E32" s="1386" t="s">
        <v>648</v>
      </c>
      <c r="F32" s="1388" t="s">
        <v>681</v>
      </c>
      <c r="G32" s="1388"/>
      <c r="H32" s="1386" t="s">
        <v>682</v>
      </c>
      <c r="I32" s="1386" t="s">
        <v>683</v>
      </c>
      <c r="J32" s="1387" t="s">
        <v>684</v>
      </c>
    </row>
    <row r="33" spans="1:10">
      <c r="A33" s="1389"/>
      <c r="B33" s="1386"/>
      <c r="C33" s="1386"/>
      <c r="D33" s="1386"/>
      <c r="E33" s="1386"/>
      <c r="F33" s="908" t="s">
        <v>685</v>
      </c>
      <c r="G33" s="908" t="s">
        <v>3</v>
      </c>
      <c r="H33" s="1386"/>
      <c r="I33" s="1386"/>
      <c r="J33" s="1387"/>
    </row>
    <row r="34" spans="1:10">
      <c r="A34" s="521" t="str">
        <f>ORÇAMENTO!A49</f>
        <v>3 S 04 001 00</v>
      </c>
      <c r="B34" s="902" t="str">
        <f>ORÇAMENTO!B49</f>
        <v>Escavação mecaniz de vala em material de 1ª cat. (implantação dreno profundo)</v>
      </c>
      <c r="C34" s="460" t="s">
        <v>701</v>
      </c>
      <c r="D34" s="462">
        <f>ORÇAMENTO!D49</f>
        <v>509.99999999999989</v>
      </c>
      <c r="E34" s="908" t="s">
        <v>65</v>
      </c>
      <c r="F34" s="908">
        <v>1.84</v>
      </c>
      <c r="G34" s="908" t="s">
        <v>687</v>
      </c>
      <c r="H34" s="748">
        <f>D34*F34</f>
        <v>938.39999999999986</v>
      </c>
      <c r="I34" s="749">
        <v>2</v>
      </c>
      <c r="J34" s="522">
        <f>H34*I34</f>
        <v>1876.7999999999997</v>
      </c>
    </row>
    <row r="35" spans="1:10">
      <c r="A35" s="904"/>
      <c r="B35" s="905"/>
      <c r="C35" s="905"/>
      <c r="D35" s="905"/>
      <c r="E35" s="905"/>
      <c r="F35" s="905"/>
      <c r="G35" s="905"/>
      <c r="H35" s="905"/>
      <c r="I35" s="905"/>
      <c r="J35" s="751">
        <f>SUM(J34:J34)</f>
        <v>1876.7999999999997</v>
      </c>
    </row>
    <row r="36" spans="1:10">
      <c r="A36" s="752" t="str">
        <f>ORÇAMENTO!B67</f>
        <v>OBRAS DE ARTE CORRENTES</v>
      </c>
      <c r="B36" s="907"/>
      <c r="C36" s="907"/>
      <c r="D36" s="907"/>
      <c r="E36" s="907"/>
      <c r="F36" s="908"/>
      <c r="G36" s="908"/>
      <c r="H36" s="907"/>
      <c r="I36" s="907"/>
      <c r="J36" s="909"/>
    </row>
    <row r="37" spans="1:10">
      <c r="A37" s="521" t="str">
        <f>ORÇAMENTO!A69</f>
        <v>2 S 04 001 00</v>
      </c>
      <c r="B37" s="903" t="str">
        <f>ORÇAMENTO!B69</f>
        <v>Escavação mecaniz de vala em material de 1ª cat. (implantação bueiros)</v>
      </c>
      <c r="C37" s="460" t="s">
        <v>701</v>
      </c>
      <c r="D37" s="462">
        <f>ORÇAMENTO!D69</f>
        <v>532.02999999999975</v>
      </c>
      <c r="E37" s="908" t="s">
        <v>65</v>
      </c>
      <c r="F37" s="908">
        <v>1.84</v>
      </c>
      <c r="G37" s="908" t="s">
        <v>687</v>
      </c>
      <c r="H37" s="748">
        <f>D37*F37</f>
        <v>978.93519999999955</v>
      </c>
      <c r="I37" s="749">
        <v>2</v>
      </c>
      <c r="J37" s="522">
        <f>H37*I37</f>
        <v>1957.8703999999991</v>
      </c>
    </row>
    <row r="38" spans="1:10" ht="13.5" customHeight="1">
      <c r="A38" s="521" t="str">
        <f>ORÇAMENTO!A70</f>
        <v>3 S 01 200 00</v>
      </c>
      <c r="B38" s="903" t="str">
        <f>ORÇAMENTO!B70</f>
        <v>Escav. E carga de mat. Jazida -(Inclusive Indenização de Jazida)-(Rodov. Não pav.)</v>
      </c>
      <c r="C38" s="1061" t="s">
        <v>710</v>
      </c>
      <c r="D38" s="462">
        <f>ORÇAMENTO!D70</f>
        <v>446.90400000000045</v>
      </c>
      <c r="E38" s="908" t="s">
        <v>65</v>
      </c>
      <c r="F38" s="908">
        <v>1.84</v>
      </c>
      <c r="G38" s="908" t="s">
        <v>687</v>
      </c>
      <c r="H38" s="748">
        <f>D38*F38</f>
        <v>822.30336000000091</v>
      </c>
      <c r="I38" s="749">
        <v>3.13</v>
      </c>
      <c r="J38" s="522">
        <f>H38*I38</f>
        <v>2573.8095168000027</v>
      </c>
    </row>
    <row r="39" spans="1:10">
      <c r="A39" s="521" t="s">
        <v>20</v>
      </c>
      <c r="B39" s="905"/>
      <c r="C39" s="905"/>
      <c r="D39" s="905"/>
      <c r="E39" s="905"/>
      <c r="F39" s="905"/>
      <c r="G39" s="905"/>
      <c r="H39" s="905"/>
      <c r="I39" s="905"/>
      <c r="J39" s="751">
        <f>SUM(J37:J38)</f>
        <v>4531.6799168000016</v>
      </c>
    </row>
    <row r="40" spans="1:10">
      <c r="A40" s="904"/>
      <c r="B40" s="905"/>
      <c r="C40" s="905"/>
      <c r="D40" s="905"/>
      <c r="E40" s="905"/>
      <c r="F40" s="905"/>
      <c r="G40" s="905"/>
      <c r="H40" s="905"/>
      <c r="I40" s="905"/>
      <c r="J40" s="906"/>
    </row>
    <row r="41" spans="1:10">
      <c r="A41" s="1383" t="s">
        <v>699</v>
      </c>
      <c r="B41" s="1384"/>
      <c r="C41" s="1384"/>
      <c r="D41" s="1384"/>
      <c r="E41" s="1384"/>
      <c r="F41" s="1384"/>
      <c r="G41" s="1384"/>
      <c r="H41" s="1384"/>
      <c r="I41" s="1384"/>
      <c r="J41" s="1385"/>
    </row>
    <row r="42" spans="1:10">
      <c r="A42" s="1389" t="s">
        <v>1</v>
      </c>
      <c r="B42" s="1386" t="s">
        <v>679</v>
      </c>
      <c r="C42" s="1386" t="s">
        <v>680</v>
      </c>
      <c r="D42" s="1386" t="s">
        <v>4</v>
      </c>
      <c r="E42" s="1386" t="s">
        <v>648</v>
      </c>
      <c r="F42" s="1388" t="s">
        <v>681</v>
      </c>
      <c r="G42" s="1388"/>
      <c r="H42" s="1386" t="s">
        <v>682</v>
      </c>
      <c r="I42" s="1386" t="s">
        <v>683</v>
      </c>
      <c r="J42" s="1387" t="s">
        <v>684</v>
      </c>
    </row>
    <row r="43" spans="1:10">
      <c r="A43" s="1389"/>
      <c r="B43" s="1386"/>
      <c r="C43" s="1386"/>
      <c r="D43" s="1386"/>
      <c r="E43" s="1386"/>
      <c r="F43" s="908" t="s">
        <v>685</v>
      </c>
      <c r="G43" s="908" t="s">
        <v>3</v>
      </c>
      <c r="H43" s="1386"/>
      <c r="I43" s="1386"/>
      <c r="J43" s="1387"/>
    </row>
    <row r="44" spans="1:10">
      <c r="A44" s="729" t="str">
        <f>ORÇAMENTO!B48</f>
        <v>DRENAGEM</v>
      </c>
      <c r="B44" s="730"/>
      <c r="C44" s="907"/>
      <c r="D44" s="907"/>
      <c r="E44" s="907"/>
      <c r="F44" s="908"/>
      <c r="G44" s="908"/>
      <c r="H44" s="907"/>
      <c r="I44" s="907"/>
      <c r="J44" s="909"/>
    </row>
    <row r="45" spans="1:10">
      <c r="A45" s="521" t="str">
        <f>ORÇAMENTO!A50</f>
        <v>2 S 04 500 63</v>
      </c>
      <c r="B45" s="902" t="str">
        <f>ORÇAMENTO!B50</f>
        <v>Dreno PEAD long. prof.p/corte em solo-DPS 13 AC/BC</v>
      </c>
      <c r="C45" s="460" t="s">
        <v>689</v>
      </c>
      <c r="D45" s="462">
        <f>ORÇAMENTO!D50</f>
        <v>680</v>
      </c>
      <c r="E45" s="908" t="s">
        <v>10</v>
      </c>
      <c r="F45" s="753">
        <v>0.87480000000000002</v>
      </c>
      <c r="G45" s="908" t="s">
        <v>690</v>
      </c>
      <c r="H45" s="748">
        <f>D45*F45</f>
        <v>594.86400000000003</v>
      </c>
      <c r="I45" s="908">
        <v>6</v>
      </c>
      <c r="J45" s="522">
        <f>H45*I45</f>
        <v>3569.1840000000002</v>
      </c>
    </row>
    <row r="46" spans="1:10">
      <c r="A46" s="521" t="str">
        <f>ORÇAMENTO!A51</f>
        <v>2 S 04 502 52</v>
      </c>
      <c r="B46" s="902" t="str">
        <f>ORÇAMENTO!B51</f>
        <v>Boca de saída de dreno longitudinal profundo BSD 02 - AC/BC</v>
      </c>
      <c r="C46" s="460" t="s">
        <v>689</v>
      </c>
      <c r="D46" s="462">
        <f>ORÇAMENTO!D51</f>
        <v>2</v>
      </c>
      <c r="E46" s="908" t="s">
        <v>695</v>
      </c>
      <c r="F46" s="458">
        <v>0.19650000000000001</v>
      </c>
      <c r="G46" s="908" t="s">
        <v>696</v>
      </c>
      <c r="H46" s="748">
        <f t="shared" ref="H46:H55" si="0">D46*F46</f>
        <v>0.39300000000000002</v>
      </c>
      <c r="I46" s="908">
        <v>6</v>
      </c>
      <c r="J46" s="522">
        <f t="shared" ref="J46:J55" si="1">H46*I46</f>
        <v>2.3580000000000001</v>
      </c>
    </row>
    <row r="47" spans="1:10">
      <c r="A47" s="521" t="str">
        <f>ORÇAMENTO!A52</f>
        <v>2 S 04 900 54</v>
      </c>
      <c r="B47" s="902" t="str">
        <f>ORÇAMENTO!B52</f>
        <v>Sarjeta triangular de concreto STC  04  AC/BC</v>
      </c>
      <c r="C47" s="460" t="s">
        <v>689</v>
      </c>
      <c r="D47" s="462">
        <f>ORÇAMENTO!D52</f>
        <v>680</v>
      </c>
      <c r="E47" s="908" t="s">
        <v>10</v>
      </c>
      <c r="F47" s="908">
        <v>6.8099999999999994E-2</v>
      </c>
      <c r="G47" s="908" t="s">
        <v>690</v>
      </c>
      <c r="H47" s="748">
        <f t="shared" si="0"/>
        <v>46.307999999999993</v>
      </c>
      <c r="I47" s="908">
        <v>6</v>
      </c>
      <c r="J47" s="522">
        <f t="shared" si="1"/>
        <v>277.84799999999996</v>
      </c>
    </row>
    <row r="48" spans="1:10">
      <c r="A48" s="521" t="str">
        <f>ORÇAMENTO!A53</f>
        <v>2 S 04 910 53</v>
      </c>
      <c r="B48" s="902" t="str">
        <f>ORÇAMENTO!B53</f>
        <v>Meio-fio de concreto - MFC 01 AC/BC tipo A (c/sarjeta de 30,0cm)</v>
      </c>
      <c r="C48" s="460" t="s">
        <v>689</v>
      </c>
      <c r="D48" s="462">
        <f>ORÇAMENTO!D53</f>
        <v>3414</v>
      </c>
      <c r="E48" s="908" t="s">
        <v>10</v>
      </c>
      <c r="F48" s="458">
        <v>0.18690000000000001</v>
      </c>
      <c r="G48" s="908" t="s">
        <v>690</v>
      </c>
      <c r="H48" s="748">
        <f t="shared" si="0"/>
        <v>638.07659999999998</v>
      </c>
      <c r="I48" s="908">
        <v>6</v>
      </c>
      <c r="J48" s="522">
        <f t="shared" si="1"/>
        <v>3828.4596000000001</v>
      </c>
    </row>
    <row r="49" spans="1:10">
      <c r="A49" s="521" t="str">
        <f>ORÇAMENTO!A54</f>
        <v>2 S 04 940 52</v>
      </c>
      <c r="B49" s="902" t="str">
        <f>ORÇAMENTO!B54</f>
        <v>Descida d'água tipo rap. canal retang. DAR 02 - AC/BC</v>
      </c>
      <c r="C49" s="460" t="s">
        <v>689</v>
      </c>
      <c r="D49" s="462">
        <f>ORÇAMENTO!D54</f>
        <v>55.89</v>
      </c>
      <c r="E49" s="908" t="s">
        <v>10</v>
      </c>
      <c r="F49" s="908">
        <v>0.17269999999999999</v>
      </c>
      <c r="G49" s="908" t="s">
        <v>690</v>
      </c>
      <c r="H49" s="748">
        <f t="shared" si="0"/>
        <v>9.6522030000000001</v>
      </c>
      <c r="I49" s="908">
        <v>6</v>
      </c>
      <c r="J49" s="522">
        <f t="shared" si="1"/>
        <v>57.913218000000001</v>
      </c>
    </row>
    <row r="50" spans="1:10">
      <c r="A50" s="521" t="str">
        <f>ORÇAMENTO!A55</f>
        <v>2 S 04 941 68</v>
      </c>
      <c r="B50" s="902" t="str">
        <f>ORÇAMENTO!B55</f>
        <v>Descida d'água aterros em degraus arm - DAD 18 - AC/BC</v>
      </c>
      <c r="C50" s="460" t="s">
        <v>689</v>
      </c>
      <c r="D50" s="462">
        <f>ORÇAMENTO!D55</f>
        <v>4.5999999999999996</v>
      </c>
      <c r="E50" s="908" t="s">
        <v>10</v>
      </c>
      <c r="F50" s="754">
        <v>1.6494</v>
      </c>
      <c r="G50" s="908" t="s">
        <v>690</v>
      </c>
      <c r="H50" s="748">
        <f t="shared" si="0"/>
        <v>7.5872399999999995</v>
      </c>
      <c r="I50" s="908">
        <v>6</v>
      </c>
      <c r="J50" s="522">
        <f t="shared" si="1"/>
        <v>45.523439999999994</v>
      </c>
    </row>
    <row r="51" spans="1:10">
      <c r="A51" s="521" t="str">
        <f>ORÇAMENTO!A56</f>
        <v>2 S 04 942 51</v>
      </c>
      <c r="B51" s="902" t="str">
        <f>ORÇAMENTO!B56</f>
        <v>Entrada d´água - EDA 01 - AC/BC</v>
      </c>
      <c r="C51" s="460" t="s">
        <v>689</v>
      </c>
      <c r="D51" s="462">
        <f>ORÇAMENTO!D56</f>
        <v>18</v>
      </c>
      <c r="E51" s="908" t="s">
        <v>695</v>
      </c>
      <c r="F51" s="908">
        <v>0.1386</v>
      </c>
      <c r="G51" s="908" t="s">
        <v>696</v>
      </c>
      <c r="H51" s="748">
        <f t="shared" si="0"/>
        <v>2.4948000000000001</v>
      </c>
      <c r="I51" s="908">
        <v>6</v>
      </c>
      <c r="J51" s="522">
        <f t="shared" si="1"/>
        <v>14.968800000000002</v>
      </c>
    </row>
    <row r="52" spans="1:10">
      <c r="A52" s="521" t="str">
        <f>ORÇAMENTO!A57</f>
        <v>2 S 04 942 52</v>
      </c>
      <c r="B52" s="902" t="str">
        <f>ORÇAMENTO!B57</f>
        <v>Entrada d´água - EDA 02 - AC/BC</v>
      </c>
      <c r="C52" s="460" t="s">
        <v>689</v>
      </c>
      <c r="D52" s="462">
        <f>ORÇAMENTO!D57</f>
        <v>1</v>
      </c>
      <c r="E52" s="908" t="s">
        <v>695</v>
      </c>
      <c r="F52" s="908">
        <v>0.1764</v>
      </c>
      <c r="G52" s="908" t="s">
        <v>696</v>
      </c>
      <c r="H52" s="748">
        <f t="shared" si="0"/>
        <v>0.1764</v>
      </c>
      <c r="I52" s="908">
        <v>6</v>
      </c>
      <c r="J52" s="522">
        <f t="shared" si="1"/>
        <v>1.0584</v>
      </c>
    </row>
    <row r="53" spans="1:10">
      <c r="A53" s="521" t="str">
        <f>ORÇAMENTO!A58</f>
        <v>2 S 04 950 62</v>
      </c>
      <c r="B53" s="902" t="str">
        <f>ORÇAMENTO!B58</f>
        <v>Dissipador de energia - DES 02 AC/PC</v>
      </c>
      <c r="C53" s="460" t="s">
        <v>689</v>
      </c>
      <c r="D53" s="462">
        <f>ORÇAMENTO!D58</f>
        <v>9</v>
      </c>
      <c r="E53" s="908" t="s">
        <v>695</v>
      </c>
      <c r="F53" s="755">
        <v>1.1279999999999999</v>
      </c>
      <c r="G53" s="908" t="s">
        <v>696</v>
      </c>
      <c r="H53" s="748">
        <f t="shared" si="0"/>
        <v>10.151999999999999</v>
      </c>
      <c r="I53" s="908">
        <v>6</v>
      </c>
      <c r="J53" s="522">
        <f t="shared" si="1"/>
        <v>60.911999999999992</v>
      </c>
    </row>
    <row r="54" spans="1:10">
      <c r="A54" s="521" t="str">
        <f>ORÇAMENTO!A59</f>
        <v>2 S 04 950 71</v>
      </c>
      <c r="B54" s="902" t="str">
        <f>ORÇAMENTO!B59</f>
        <v>Dissipador de energia - DEB 01 AC/BC/PC</v>
      </c>
      <c r="C54" s="460" t="s">
        <v>689</v>
      </c>
      <c r="D54" s="462">
        <f>ORÇAMENTO!D59</f>
        <v>11</v>
      </c>
      <c r="E54" s="908" t="s">
        <v>695</v>
      </c>
      <c r="F54" s="908">
        <v>0.68540000000000001</v>
      </c>
      <c r="G54" s="908" t="s">
        <v>696</v>
      </c>
      <c r="H54" s="748">
        <f t="shared" si="0"/>
        <v>7.5394000000000005</v>
      </c>
      <c r="I54" s="908">
        <v>6</v>
      </c>
      <c r="J54" s="522">
        <f t="shared" si="1"/>
        <v>45.236400000000003</v>
      </c>
    </row>
    <row r="55" spans="1:10">
      <c r="A55" s="521" t="str">
        <f>ORÇAMENTO!A60</f>
        <v>2 S 04 950 79</v>
      </c>
      <c r="B55" s="902" t="str">
        <f>ORÇAMENTO!B60</f>
        <v>Dissipador de energia - DEB 09 AC/BC/PC</v>
      </c>
      <c r="C55" s="460" t="s">
        <v>689</v>
      </c>
      <c r="D55" s="462">
        <f>ORÇAMENTO!D60</f>
        <v>1</v>
      </c>
      <c r="E55" s="908" t="s">
        <v>695</v>
      </c>
      <c r="F55" s="908">
        <v>20.8687</v>
      </c>
      <c r="G55" s="908" t="s">
        <v>696</v>
      </c>
      <c r="H55" s="748">
        <f t="shared" si="0"/>
        <v>20.8687</v>
      </c>
      <c r="I55" s="908">
        <v>6</v>
      </c>
      <c r="J55" s="522">
        <f t="shared" si="1"/>
        <v>125.2122</v>
      </c>
    </row>
    <row r="56" spans="1:10">
      <c r="A56" s="521" t="s">
        <v>20</v>
      </c>
      <c r="B56" s="460"/>
      <c r="C56" s="460"/>
      <c r="D56" s="462"/>
      <c r="E56" s="908"/>
      <c r="F56" s="908"/>
      <c r="G56" s="908"/>
      <c r="H56" s="748"/>
      <c r="I56" s="908"/>
      <c r="J56" s="750">
        <f>SUM(J45:J55)</f>
        <v>8028.6740579999996</v>
      </c>
    </row>
    <row r="57" spans="1:10">
      <c r="A57" s="904" t="str">
        <f>ORÇAMENTO!B67</f>
        <v>OBRAS DE ARTE CORRENTES</v>
      </c>
      <c r="B57" s="756"/>
      <c r="C57" s="460"/>
      <c r="D57" s="462"/>
      <c r="E57" s="908"/>
      <c r="F57" s="908"/>
      <c r="G57" s="908"/>
      <c r="H57" s="748"/>
      <c r="I57" s="908"/>
      <c r="J57" s="750"/>
    </row>
    <row r="58" spans="1:10">
      <c r="A58" s="915" t="str">
        <f>QUANT!A72</f>
        <v>2 S 05  300 52</v>
      </c>
      <c r="B58" s="916" t="str">
        <f>QUANT!B72</f>
        <v>Enrocamento de pedra jogada - PC</v>
      </c>
      <c r="C58" s="460" t="s">
        <v>689</v>
      </c>
      <c r="D58" s="462">
        <f>ORÇAMENTO!D72</f>
        <v>200</v>
      </c>
      <c r="E58" s="908" t="s">
        <v>65</v>
      </c>
      <c r="F58" s="458">
        <v>1.5</v>
      </c>
      <c r="G58" s="908"/>
      <c r="H58" s="748">
        <f>D58*F58</f>
        <v>300</v>
      </c>
      <c r="I58" s="908">
        <v>6</v>
      </c>
      <c r="J58" s="522">
        <f>H58*I58</f>
        <v>1800</v>
      </c>
    </row>
    <row r="59" spans="1:10">
      <c r="A59" s="521" t="str">
        <f>ORÇAMENTO!A73</f>
        <v>2 S 04 100 53</v>
      </c>
      <c r="B59" s="902" t="str">
        <f>ORÇAMENTO!B73</f>
        <v>Corpo BSTC D=1,00 m AC/BC/PC</v>
      </c>
      <c r="C59" s="460" t="s">
        <v>689</v>
      </c>
      <c r="D59" s="462">
        <f>ORÇAMENTO!D73</f>
        <v>56</v>
      </c>
      <c r="E59" s="908" t="s">
        <v>10</v>
      </c>
      <c r="F59" s="908">
        <v>1.0436000000000001</v>
      </c>
      <c r="G59" s="908" t="s">
        <v>690</v>
      </c>
      <c r="H59" s="748">
        <f>D59*F59</f>
        <v>58.441600000000008</v>
      </c>
      <c r="I59" s="908">
        <v>6</v>
      </c>
      <c r="J59" s="522">
        <f>H59*I59</f>
        <v>350.64960000000008</v>
      </c>
    </row>
    <row r="60" spans="1:10">
      <c r="A60" s="521" t="str">
        <f>ORÇAMENTO!A75</f>
        <v>2 S 04 101 53</v>
      </c>
      <c r="B60" s="902" t="str">
        <f>ORÇAMENTO!B75</f>
        <v>Boca BSTC D=1,00m normal - AC/BC/PC</v>
      </c>
      <c r="C60" s="460" t="s">
        <v>689</v>
      </c>
      <c r="D60" s="462">
        <f>ORÇAMENTO!D75</f>
        <v>8</v>
      </c>
      <c r="E60" s="908" t="s">
        <v>695</v>
      </c>
      <c r="F60" s="908">
        <v>3.4529000000000001</v>
      </c>
      <c r="G60" s="908" t="s">
        <v>696</v>
      </c>
      <c r="H60" s="748">
        <f>D60*F60</f>
        <v>27.623200000000001</v>
      </c>
      <c r="I60" s="908">
        <v>6</v>
      </c>
      <c r="J60" s="522">
        <f>H60*I60</f>
        <v>165.73920000000001</v>
      </c>
    </row>
    <row r="61" spans="1:10">
      <c r="A61" s="521" t="str">
        <f>ORÇAMENTO!A74</f>
        <v>2 S 04 200 60</v>
      </c>
      <c r="B61" s="902" t="str">
        <f>ORÇAMENTO!B74</f>
        <v>Corpo BSCC 2,00x2,00 m alt. 2,50 a 5,00m - AC/BC</v>
      </c>
      <c r="C61" s="460" t="s">
        <v>689</v>
      </c>
      <c r="D61" s="462">
        <f>ORÇAMENTO!D74</f>
        <v>19</v>
      </c>
      <c r="E61" s="908" t="s">
        <v>10</v>
      </c>
      <c r="F61" s="757">
        <v>1.2908999999999999</v>
      </c>
      <c r="G61" s="908" t="s">
        <v>690</v>
      </c>
      <c r="H61" s="748">
        <f>D61*F61</f>
        <v>24.527099999999997</v>
      </c>
      <c r="I61" s="908">
        <v>6</v>
      </c>
      <c r="J61" s="522">
        <f>H61*I61</f>
        <v>147.1626</v>
      </c>
    </row>
    <row r="62" spans="1:10">
      <c r="A62" s="521" t="str">
        <f>ORÇAMENTO!A76</f>
        <v>2 S 04 201 52</v>
      </c>
      <c r="B62" s="902" t="str">
        <f>ORÇAMENTO!B76</f>
        <v>Boca BSCC 2,00x2,00 m normal - AC/BC</v>
      </c>
      <c r="C62" s="460" t="s">
        <v>689</v>
      </c>
      <c r="D62" s="462">
        <f>ORÇAMENTO!D76</f>
        <v>1</v>
      </c>
      <c r="E62" s="908" t="s">
        <v>695</v>
      </c>
      <c r="F62" s="757">
        <v>8.3865999999999996</v>
      </c>
      <c r="G62" s="908" t="s">
        <v>696</v>
      </c>
      <c r="H62" s="748">
        <f>D62*F62</f>
        <v>8.3865999999999996</v>
      </c>
      <c r="I62" s="908">
        <v>6</v>
      </c>
      <c r="J62" s="522">
        <f>H62*I62</f>
        <v>50.319599999999994</v>
      </c>
    </row>
    <row r="63" spans="1:10">
      <c r="A63" s="521" t="s">
        <v>20</v>
      </c>
      <c r="B63" s="460"/>
      <c r="C63" s="460"/>
      <c r="D63" s="462"/>
      <c r="E63" s="908"/>
      <c r="F63" s="908"/>
      <c r="G63" s="908"/>
      <c r="H63" s="748"/>
      <c r="I63" s="908"/>
      <c r="J63" s="750">
        <f>SUM(J57:J62)</f>
        <v>2513.8710000000001</v>
      </c>
    </row>
    <row r="64" spans="1:10">
      <c r="A64" s="521"/>
      <c r="B64" s="460"/>
      <c r="C64" s="460"/>
      <c r="D64" s="462"/>
      <c r="E64" s="908"/>
      <c r="F64" s="908"/>
      <c r="G64" s="908"/>
      <c r="H64" s="748"/>
      <c r="I64" s="908"/>
      <c r="J64" s="750"/>
    </row>
    <row r="65" spans="1:10">
      <c r="A65" s="1383" t="s">
        <v>691</v>
      </c>
      <c r="B65" s="1384"/>
      <c r="C65" s="1384"/>
      <c r="D65" s="1384"/>
      <c r="E65" s="1384"/>
      <c r="F65" s="1384"/>
      <c r="G65" s="1384"/>
      <c r="H65" s="1384"/>
      <c r="I65" s="1384"/>
      <c r="J65" s="1385"/>
    </row>
    <row r="66" spans="1:10">
      <c r="A66" s="904" t="str">
        <f>ORÇAMENTO!B48</f>
        <v>DRENAGEM</v>
      </c>
      <c r="B66" s="905"/>
      <c r="C66" s="905"/>
      <c r="D66" s="905"/>
      <c r="E66" s="905"/>
      <c r="F66" s="905"/>
      <c r="G66" s="905"/>
      <c r="H66" s="905"/>
      <c r="I66" s="905"/>
      <c r="J66" s="906"/>
    </row>
    <row r="67" spans="1:10">
      <c r="A67" s="1389" t="s">
        <v>1</v>
      </c>
      <c r="B67" s="1386" t="s">
        <v>679</v>
      </c>
      <c r="C67" s="1386" t="s">
        <v>680</v>
      </c>
      <c r="D67" s="1386" t="s">
        <v>4</v>
      </c>
      <c r="E67" s="1386" t="s">
        <v>648</v>
      </c>
      <c r="F67" s="1388" t="s">
        <v>681</v>
      </c>
      <c r="G67" s="1388"/>
      <c r="H67" s="1386" t="s">
        <v>682</v>
      </c>
      <c r="I67" s="1386" t="s">
        <v>683</v>
      </c>
      <c r="J67" s="1387" t="s">
        <v>684</v>
      </c>
    </row>
    <row r="68" spans="1:10">
      <c r="A68" s="1389"/>
      <c r="B68" s="1386"/>
      <c r="C68" s="1386"/>
      <c r="D68" s="1386"/>
      <c r="E68" s="1386"/>
      <c r="F68" s="908" t="s">
        <v>685</v>
      </c>
      <c r="G68" s="908" t="s">
        <v>3</v>
      </c>
      <c r="H68" s="1386"/>
      <c r="I68" s="1386"/>
      <c r="J68" s="1387"/>
    </row>
    <row r="69" spans="1:10">
      <c r="A69" s="521" t="str">
        <f>ORÇAMENTO!A50</f>
        <v>2 S 04 500 63</v>
      </c>
      <c r="B69" s="902" t="str">
        <f>ORÇAMENTO!B50</f>
        <v>Dreno PEAD long. prof.p/corte em solo-DPS 13 AC/BC</v>
      </c>
      <c r="C69" s="461" t="s">
        <v>693</v>
      </c>
      <c r="D69" s="462">
        <f>ORÇAMENTO!D50</f>
        <v>680</v>
      </c>
      <c r="E69" s="908" t="s">
        <v>10</v>
      </c>
      <c r="F69" s="753">
        <v>0.87480000000000002</v>
      </c>
      <c r="G69" s="908" t="s">
        <v>690</v>
      </c>
      <c r="H69" s="456">
        <f>D69*F69</f>
        <v>594.86400000000003</v>
      </c>
      <c r="I69" s="908">
        <v>56</v>
      </c>
      <c r="J69" s="522">
        <f>INT(H69*I69*100)/100</f>
        <v>33312.379999999997</v>
      </c>
    </row>
    <row r="70" spans="1:10">
      <c r="A70" s="521"/>
      <c r="B70" s="460"/>
      <c r="C70" s="908"/>
      <c r="D70" s="462"/>
      <c r="E70" s="908"/>
      <c r="F70" s="758"/>
      <c r="G70" s="908"/>
      <c r="H70" s="456"/>
      <c r="I70" s="908"/>
      <c r="J70" s="522"/>
    </row>
    <row r="71" spans="1:10">
      <c r="A71" s="521" t="str">
        <f>ORÇAMENTO!A51</f>
        <v>2 S 04 502 52</v>
      </c>
      <c r="B71" s="902" t="str">
        <f>ORÇAMENTO!B51</f>
        <v>Boca de saída de dreno longitudinal profundo BSD 02 - AC/BC</v>
      </c>
      <c r="C71" s="461" t="s">
        <v>692</v>
      </c>
      <c r="D71" s="462">
        <f>ORÇAMENTO!D51</f>
        <v>2</v>
      </c>
      <c r="E71" s="908" t="s">
        <v>695</v>
      </c>
      <c r="F71" s="753">
        <v>0.218</v>
      </c>
      <c r="G71" s="908" t="s">
        <v>696</v>
      </c>
      <c r="H71" s="456">
        <f>D71*F71</f>
        <v>0.436</v>
      </c>
      <c r="I71" s="908">
        <v>16</v>
      </c>
      <c r="J71" s="522">
        <f>INT(H71*I71*100)/100</f>
        <v>6.97</v>
      </c>
    </row>
    <row r="72" spans="1:10">
      <c r="A72" s="521" t="str">
        <f>A71</f>
        <v>2 S 04 502 52</v>
      </c>
      <c r="B72" s="459" t="str">
        <f>B71</f>
        <v>Boca de saída de dreno longitudinal profundo BSD 02 - AC/BC</v>
      </c>
      <c r="C72" s="461" t="s">
        <v>693</v>
      </c>
      <c r="D72" s="462">
        <f>D71</f>
        <v>2</v>
      </c>
      <c r="E72" s="908" t="s">
        <v>695</v>
      </c>
      <c r="F72" s="458">
        <v>0.19650000000000001</v>
      </c>
      <c r="G72" s="908" t="s">
        <v>696</v>
      </c>
      <c r="H72" s="456">
        <f>D72*F72</f>
        <v>0.39300000000000002</v>
      </c>
      <c r="I72" s="908">
        <v>56</v>
      </c>
      <c r="J72" s="522">
        <f>INT(H72*I72*100)/100</f>
        <v>22</v>
      </c>
    </row>
    <row r="73" spans="1:10">
      <c r="A73" s="521" t="str">
        <f>A71</f>
        <v>2 S 04 502 52</v>
      </c>
      <c r="B73" s="459" t="str">
        <f>B71</f>
        <v>Boca de saída de dreno longitudinal profundo BSD 02 - AC/BC</v>
      </c>
      <c r="C73" s="908" t="s">
        <v>694</v>
      </c>
      <c r="D73" s="462">
        <f>D71</f>
        <v>2</v>
      </c>
      <c r="E73" s="908" t="s">
        <v>695</v>
      </c>
      <c r="F73" s="458">
        <v>0.156</v>
      </c>
      <c r="G73" s="908" t="s">
        <v>696</v>
      </c>
      <c r="H73" s="456">
        <f>D73*F73</f>
        <v>0.312</v>
      </c>
      <c r="I73" s="908">
        <v>11</v>
      </c>
      <c r="J73" s="522">
        <f>INT(H73*I73*100)/100</f>
        <v>3.43</v>
      </c>
    </row>
    <row r="74" spans="1:10">
      <c r="A74" s="521" t="str">
        <f>A72</f>
        <v>2 S 04 502 52</v>
      </c>
      <c r="B74" s="459" t="str">
        <f>B72</f>
        <v>Boca de saída de dreno longitudinal profundo BSD 02 - AC/BC</v>
      </c>
      <c r="C74" s="908" t="s">
        <v>700</v>
      </c>
      <c r="D74" s="462">
        <f>D72</f>
        <v>2</v>
      </c>
      <c r="E74" s="908" t="s">
        <v>695</v>
      </c>
      <c r="F74" s="458">
        <v>0.04</v>
      </c>
      <c r="G74" s="908" t="s">
        <v>696</v>
      </c>
      <c r="H74" s="456">
        <f>D74*F74</f>
        <v>0.08</v>
      </c>
      <c r="I74" s="908">
        <v>26</v>
      </c>
      <c r="J74" s="522">
        <f>INT(H74*I74*100)/100</f>
        <v>2.08</v>
      </c>
    </row>
    <row r="75" spans="1:10">
      <c r="A75" s="759"/>
      <c r="B75" s="760"/>
      <c r="C75" s="760"/>
      <c r="D75" s="760"/>
      <c r="E75" s="760"/>
      <c r="F75" s="760"/>
      <c r="G75" s="760"/>
      <c r="H75" s="760"/>
      <c r="I75" s="760"/>
      <c r="J75" s="914"/>
    </row>
    <row r="76" spans="1:10">
      <c r="A76" s="521" t="str">
        <f>ORÇAMENTO!A52</f>
        <v>2 S 04 900 54</v>
      </c>
      <c r="B76" s="902" t="str">
        <f>ORÇAMENTO!B52</f>
        <v>Sarjeta triangular de concreto STC  04  AC/BC</v>
      </c>
      <c r="C76" s="461" t="s">
        <v>692</v>
      </c>
      <c r="D76" s="462">
        <f>ORÇAMENTO!D52</f>
        <v>680</v>
      </c>
      <c r="E76" s="908" t="s">
        <v>10</v>
      </c>
      <c r="F76" s="761">
        <v>7.5300000000000006E-2</v>
      </c>
      <c r="G76" s="908" t="s">
        <v>690</v>
      </c>
      <c r="H76" s="456">
        <f>D76*F76</f>
        <v>51.204000000000001</v>
      </c>
      <c r="I76" s="908">
        <v>16</v>
      </c>
      <c r="J76" s="522">
        <f>INT(H76*I76*100)/100</f>
        <v>819.26</v>
      </c>
    </row>
    <row r="77" spans="1:10">
      <c r="A77" s="521" t="str">
        <f>A76</f>
        <v>2 S 04 900 54</v>
      </c>
      <c r="B77" s="459" t="str">
        <f>B76</f>
        <v>Sarjeta triangular de concreto STC  04  AC/BC</v>
      </c>
      <c r="C77" s="461" t="s">
        <v>693</v>
      </c>
      <c r="D77" s="455">
        <f>D76</f>
        <v>680</v>
      </c>
      <c r="E77" s="908" t="s">
        <v>10</v>
      </c>
      <c r="F77" s="754">
        <v>6.8099999999999994E-2</v>
      </c>
      <c r="G77" s="908" t="s">
        <v>690</v>
      </c>
      <c r="H77" s="456">
        <f>D77*F77</f>
        <v>46.307999999999993</v>
      </c>
      <c r="I77" s="908">
        <v>56</v>
      </c>
      <c r="J77" s="522">
        <f>INT(H77*I77*100)/100</f>
        <v>2593.2399999999998</v>
      </c>
    </row>
    <row r="78" spans="1:10">
      <c r="A78" s="521" t="str">
        <f>A76</f>
        <v>2 S 04 900 54</v>
      </c>
      <c r="B78" s="459" t="str">
        <f>B76</f>
        <v>Sarjeta triangular de concreto STC  04  AC/BC</v>
      </c>
      <c r="C78" s="908" t="s">
        <v>694</v>
      </c>
      <c r="D78" s="455">
        <f>D76</f>
        <v>680</v>
      </c>
      <c r="E78" s="908" t="s">
        <v>10</v>
      </c>
      <c r="F78" s="761">
        <v>5.3999999999999999E-2</v>
      </c>
      <c r="G78" s="908" t="s">
        <v>690</v>
      </c>
      <c r="H78" s="456">
        <f>D78*F78</f>
        <v>36.72</v>
      </c>
      <c r="I78" s="908">
        <v>11</v>
      </c>
      <c r="J78" s="522">
        <f>INT(H78*I78*100)/100</f>
        <v>403.92</v>
      </c>
    </row>
    <row r="79" spans="1:10">
      <c r="A79" s="759"/>
      <c r="B79" s="760"/>
      <c r="C79" s="760"/>
      <c r="D79" s="760"/>
      <c r="E79" s="760"/>
      <c r="F79" s="760"/>
      <c r="G79" s="760"/>
      <c r="H79" s="760"/>
      <c r="I79" s="760"/>
      <c r="J79" s="914"/>
    </row>
    <row r="80" spans="1:10">
      <c r="A80" s="521" t="str">
        <f>ORÇAMENTO!A53</f>
        <v>2 S 04 910 53</v>
      </c>
      <c r="B80" s="902" t="str">
        <f>ORÇAMENTO!B53</f>
        <v>Meio-fio de concreto - MFC 01 AC/BC tipo A (c/sarjeta de 30,0cm)</v>
      </c>
      <c r="C80" s="454" t="s">
        <v>692</v>
      </c>
      <c r="D80" s="462">
        <f>ORÇAMENTO!D53</f>
        <v>3414</v>
      </c>
      <c r="E80" s="908" t="s">
        <v>10</v>
      </c>
      <c r="F80" s="458">
        <v>7.8600000000000003E-2</v>
      </c>
      <c r="G80" s="908" t="s">
        <v>690</v>
      </c>
      <c r="H80" s="456">
        <f>D80*F80</f>
        <v>268.34039999999999</v>
      </c>
      <c r="I80" s="908">
        <v>16</v>
      </c>
      <c r="J80" s="522">
        <f>INT(H80*I80*100)/100</f>
        <v>4293.4399999999996</v>
      </c>
    </row>
    <row r="81" spans="1:10">
      <c r="A81" s="521" t="str">
        <f>A80</f>
        <v>2 S 04 910 53</v>
      </c>
      <c r="B81" s="459" t="str">
        <f>B80</f>
        <v>Meio-fio de concreto - MFC 01 AC/BC tipo A (c/sarjeta de 30,0cm)</v>
      </c>
      <c r="C81" s="454" t="s">
        <v>693</v>
      </c>
      <c r="D81" s="455">
        <f>D80</f>
        <v>3414</v>
      </c>
      <c r="E81" s="908" t="s">
        <v>10</v>
      </c>
      <c r="F81" s="458">
        <v>0.18690000000000001</v>
      </c>
      <c r="G81" s="908" t="s">
        <v>690</v>
      </c>
      <c r="H81" s="456">
        <f>D81*F81</f>
        <v>638.07659999999998</v>
      </c>
      <c r="I81" s="908">
        <v>56</v>
      </c>
      <c r="J81" s="522">
        <f>INT(H81*I81*100)/100</f>
        <v>35732.28</v>
      </c>
    </row>
    <row r="82" spans="1:10">
      <c r="A82" s="521" t="str">
        <f>A80</f>
        <v>2 S 04 910 53</v>
      </c>
      <c r="B82" s="459" t="str">
        <f>B80</f>
        <v>Meio-fio de concreto - MFC 01 AC/BC tipo A (c/sarjeta de 30,0cm)</v>
      </c>
      <c r="C82" s="908" t="s">
        <v>694</v>
      </c>
      <c r="D82" s="455">
        <f>D80</f>
        <v>3414</v>
      </c>
      <c r="E82" s="908" t="s">
        <v>10</v>
      </c>
      <c r="F82" s="458">
        <v>2.8400000000000002E-2</v>
      </c>
      <c r="G82" s="908" t="s">
        <v>690</v>
      </c>
      <c r="H82" s="456">
        <f>D82*F82</f>
        <v>96.957599999999999</v>
      </c>
      <c r="I82" s="908">
        <v>11</v>
      </c>
      <c r="J82" s="522">
        <f>INT(H82*I82*100)/100</f>
        <v>1066.53</v>
      </c>
    </row>
    <row r="83" spans="1:10">
      <c r="A83" s="521"/>
      <c r="B83" s="459"/>
      <c r="C83" s="908"/>
      <c r="D83" s="455"/>
      <c r="E83" s="908"/>
      <c r="F83" s="458"/>
      <c r="G83" s="908"/>
      <c r="H83" s="456"/>
      <c r="I83" s="908"/>
      <c r="J83" s="522"/>
    </row>
    <row r="84" spans="1:10">
      <c r="A84" s="521" t="str">
        <f>ORÇAMENTO!A54</f>
        <v>2 S 04 940 52</v>
      </c>
      <c r="B84" s="902" t="str">
        <f>ORÇAMENTO!B54</f>
        <v>Descida d'água tipo rap. canal retang. DAR 02 - AC/BC</v>
      </c>
      <c r="C84" s="454" t="s">
        <v>692</v>
      </c>
      <c r="D84" s="462">
        <f>ORÇAMENTO!D54</f>
        <v>55.89</v>
      </c>
      <c r="E84" s="908" t="s">
        <v>10</v>
      </c>
      <c r="F84" s="458">
        <v>0.19109999999999999</v>
      </c>
      <c r="G84" s="908" t="s">
        <v>690</v>
      </c>
      <c r="H84" s="912">
        <f>D84*F84</f>
        <v>10.680579</v>
      </c>
      <c r="I84" s="908">
        <v>16</v>
      </c>
      <c r="J84" s="522">
        <f>INT(H84*I84*100)/100</f>
        <v>170.88</v>
      </c>
    </row>
    <row r="85" spans="1:10">
      <c r="A85" s="521" t="str">
        <f>A84</f>
        <v>2 S 04 940 52</v>
      </c>
      <c r="B85" s="459" t="str">
        <f>B84</f>
        <v>Descida d'água tipo rap. canal retang. DAR 02 - AC/BC</v>
      </c>
      <c r="C85" s="454" t="s">
        <v>693</v>
      </c>
      <c r="D85" s="455">
        <f>D84</f>
        <v>55.89</v>
      </c>
      <c r="E85" s="908" t="s">
        <v>10</v>
      </c>
      <c r="F85" s="458">
        <v>0.17269999999999999</v>
      </c>
      <c r="G85" s="908" t="s">
        <v>690</v>
      </c>
      <c r="H85" s="912">
        <f>D85*F85</f>
        <v>9.6522030000000001</v>
      </c>
      <c r="I85" s="908">
        <v>56</v>
      </c>
      <c r="J85" s="522">
        <f>INT(H85*I85*100)/100</f>
        <v>540.52</v>
      </c>
    </row>
    <row r="86" spans="1:10">
      <c r="A86" s="521" t="str">
        <f>A84</f>
        <v>2 S 04 940 52</v>
      </c>
      <c r="B86" s="459" t="str">
        <f>B84</f>
        <v>Descida d'água tipo rap. canal retang. DAR 02 - AC/BC</v>
      </c>
      <c r="C86" s="908" t="s">
        <v>694</v>
      </c>
      <c r="D86" s="455">
        <f>D84</f>
        <v>55.89</v>
      </c>
      <c r="E86" s="908" t="s">
        <v>10</v>
      </c>
      <c r="F86" s="458">
        <v>0.13700000000000001</v>
      </c>
      <c r="G86" s="908" t="s">
        <v>690</v>
      </c>
      <c r="H86" s="912">
        <f>D86*F86</f>
        <v>7.6569300000000009</v>
      </c>
      <c r="I86" s="908">
        <v>11</v>
      </c>
      <c r="J86" s="522">
        <f>INT(H86*I86*100)/100</f>
        <v>84.22</v>
      </c>
    </row>
    <row r="87" spans="1:10">
      <c r="A87" s="759"/>
      <c r="B87" s="760"/>
      <c r="C87" s="760"/>
      <c r="D87" s="760"/>
      <c r="E87" s="760"/>
      <c r="F87" s="760"/>
      <c r="G87" s="760"/>
      <c r="H87" s="913"/>
      <c r="I87" s="760"/>
      <c r="J87" s="914"/>
    </row>
    <row r="88" spans="1:10">
      <c r="A88" s="521" t="str">
        <f>ORÇAMENTO!A55</f>
        <v>2 S 04 941 68</v>
      </c>
      <c r="B88" s="902" t="str">
        <f>ORÇAMENTO!B55</f>
        <v>Descida d'água aterros em degraus arm - DAD 18 - AC/BC</v>
      </c>
      <c r="C88" s="454" t="s">
        <v>692</v>
      </c>
      <c r="D88" s="462">
        <f>ORÇAMENTO!D55</f>
        <v>4.5999999999999996</v>
      </c>
      <c r="E88" s="908" t="s">
        <v>10</v>
      </c>
      <c r="F88" s="754">
        <v>1.8261000000000001</v>
      </c>
      <c r="G88" s="908" t="s">
        <v>690</v>
      </c>
      <c r="H88" s="912">
        <f>D88*F88</f>
        <v>8.4000599999999999</v>
      </c>
      <c r="I88" s="908">
        <v>16</v>
      </c>
      <c r="J88" s="522">
        <f>INT(H88*I88*100)/100</f>
        <v>134.4</v>
      </c>
    </row>
    <row r="89" spans="1:10">
      <c r="A89" s="521" t="str">
        <f>A88</f>
        <v>2 S 04 941 68</v>
      </c>
      <c r="B89" s="459" t="str">
        <f>B88</f>
        <v>Descida d'água aterros em degraus arm - DAD 18 - AC/BC</v>
      </c>
      <c r="C89" s="454" t="s">
        <v>693</v>
      </c>
      <c r="D89" s="455">
        <f>D88</f>
        <v>4.5999999999999996</v>
      </c>
      <c r="E89" s="908" t="s">
        <v>10</v>
      </c>
      <c r="F89" s="754">
        <v>1.6494</v>
      </c>
      <c r="G89" s="908" t="s">
        <v>690</v>
      </c>
      <c r="H89" s="912">
        <f>D89*F89</f>
        <v>7.5872399999999995</v>
      </c>
      <c r="I89" s="908">
        <v>56</v>
      </c>
      <c r="J89" s="522">
        <f>INT(H89*I89*100)/100</f>
        <v>424.88</v>
      </c>
    </row>
    <row r="90" spans="1:10">
      <c r="A90" s="521" t="str">
        <f>A88</f>
        <v>2 S 04 941 68</v>
      </c>
      <c r="B90" s="459" t="str">
        <f>B88</f>
        <v>Descida d'água aterros em degraus arm - DAD 18 - AC/BC</v>
      </c>
      <c r="C90" s="908" t="s">
        <v>694</v>
      </c>
      <c r="D90" s="455">
        <f>D88</f>
        <v>4.5999999999999996</v>
      </c>
      <c r="E90" s="908" t="s">
        <v>10</v>
      </c>
      <c r="F90" s="754">
        <v>1.3089999999999999</v>
      </c>
      <c r="G90" s="908" t="s">
        <v>690</v>
      </c>
      <c r="H90" s="912">
        <f>D90*F90</f>
        <v>6.021399999999999</v>
      </c>
      <c r="I90" s="908">
        <v>11</v>
      </c>
      <c r="J90" s="522">
        <f>INT(H90*I90*100)/100</f>
        <v>66.23</v>
      </c>
    </row>
    <row r="91" spans="1:10">
      <c r="A91" s="759"/>
      <c r="B91" s="760"/>
      <c r="C91" s="760"/>
      <c r="D91" s="760"/>
      <c r="E91" s="760"/>
      <c r="F91" s="760"/>
      <c r="G91" s="760"/>
      <c r="H91" s="913"/>
      <c r="I91" s="760"/>
      <c r="J91" s="914"/>
    </row>
    <row r="92" spans="1:10">
      <c r="A92" s="521" t="str">
        <f>ORÇAMENTO!A56</f>
        <v>2 S 04 942 51</v>
      </c>
      <c r="B92" s="902" t="str">
        <f>ORÇAMENTO!B56</f>
        <v>Entrada d´água - EDA 01 - AC/BC</v>
      </c>
      <c r="C92" s="454" t="s">
        <v>692</v>
      </c>
      <c r="D92" s="455">
        <f>ORÇAMENTO!D56</f>
        <v>18</v>
      </c>
      <c r="E92" s="908" t="s">
        <v>695</v>
      </c>
      <c r="F92" s="762">
        <v>0.1535</v>
      </c>
      <c r="G92" s="908" t="s">
        <v>696</v>
      </c>
      <c r="H92" s="912">
        <f>D92*F92</f>
        <v>2.7629999999999999</v>
      </c>
      <c r="I92" s="908">
        <v>16</v>
      </c>
      <c r="J92" s="522">
        <f>INT(H92*I92*100)/100</f>
        <v>44.2</v>
      </c>
    </row>
    <row r="93" spans="1:10">
      <c r="A93" s="521" t="str">
        <f>A92</f>
        <v>2 S 04 942 51</v>
      </c>
      <c r="B93" s="457" t="str">
        <f>B92</f>
        <v>Entrada d´água - EDA 01 - AC/BC</v>
      </c>
      <c r="C93" s="908" t="s">
        <v>693</v>
      </c>
      <c r="D93" s="455">
        <f>D92</f>
        <v>18</v>
      </c>
      <c r="E93" s="908" t="s">
        <v>695</v>
      </c>
      <c r="F93" s="458">
        <v>0.1386</v>
      </c>
      <c r="G93" s="908" t="s">
        <v>696</v>
      </c>
      <c r="H93" s="912">
        <f>D93*F93</f>
        <v>2.4948000000000001</v>
      </c>
      <c r="I93" s="908">
        <v>56</v>
      </c>
      <c r="J93" s="522">
        <f>INT(H93*I93*100)/100</f>
        <v>139.69999999999999</v>
      </c>
    </row>
    <row r="94" spans="1:10">
      <c r="A94" s="521" t="str">
        <f>A92</f>
        <v>2 S 04 942 51</v>
      </c>
      <c r="B94" s="457" t="str">
        <f>B92</f>
        <v>Entrada d´água - EDA 01 - AC/BC</v>
      </c>
      <c r="C94" s="908" t="s">
        <v>694</v>
      </c>
      <c r="D94" s="455">
        <f>D92</f>
        <v>18</v>
      </c>
      <c r="E94" s="908" t="s">
        <v>695</v>
      </c>
      <c r="F94" s="458">
        <v>3.465E-2</v>
      </c>
      <c r="G94" s="908" t="s">
        <v>696</v>
      </c>
      <c r="H94" s="912">
        <f>D94*F94</f>
        <v>0.62370000000000003</v>
      </c>
      <c r="I94" s="908">
        <v>11</v>
      </c>
      <c r="J94" s="522">
        <f>INT(H94*I94*100)/100</f>
        <v>6.86</v>
      </c>
    </row>
    <row r="95" spans="1:10">
      <c r="A95" s="521"/>
      <c r="B95" s="460"/>
      <c r="C95" s="461"/>
      <c r="D95" s="462"/>
      <c r="E95" s="908"/>
      <c r="F95" s="458"/>
      <c r="G95" s="908"/>
      <c r="H95" s="456"/>
      <c r="I95" s="908"/>
      <c r="J95" s="522"/>
    </row>
    <row r="96" spans="1:10">
      <c r="A96" s="521" t="str">
        <f>ORÇAMENTO!A57</f>
        <v>2 S 04 942 52</v>
      </c>
      <c r="B96" s="902" t="str">
        <f>ORÇAMENTO!B57</f>
        <v>Entrada d´água - EDA 02 - AC/BC</v>
      </c>
      <c r="C96" s="454" t="s">
        <v>692</v>
      </c>
      <c r="D96" s="462">
        <f>ORÇAMENTO!D57</f>
        <v>1</v>
      </c>
      <c r="E96" s="908" t="s">
        <v>695</v>
      </c>
      <c r="F96" s="458">
        <v>0.12909999999999999</v>
      </c>
      <c r="G96" s="908" t="s">
        <v>696</v>
      </c>
      <c r="H96" s="456">
        <f>D96*F96</f>
        <v>0.12909999999999999</v>
      </c>
      <c r="I96" s="908">
        <v>16</v>
      </c>
      <c r="J96" s="522">
        <f>INT(H96*I96*100)/100</f>
        <v>2.06</v>
      </c>
    </row>
    <row r="97" spans="1:10">
      <c r="A97" s="521" t="str">
        <f>A96</f>
        <v>2 S 04 942 52</v>
      </c>
      <c r="B97" s="460" t="str">
        <f>B96</f>
        <v>Entrada d´água - EDA 02 - AC/BC</v>
      </c>
      <c r="C97" s="908" t="s">
        <v>693</v>
      </c>
      <c r="D97" s="462">
        <f>D96</f>
        <v>1</v>
      </c>
      <c r="E97" s="908" t="s">
        <v>695</v>
      </c>
      <c r="F97" s="458">
        <v>0.15429999999999999</v>
      </c>
      <c r="G97" s="908" t="s">
        <v>696</v>
      </c>
      <c r="H97" s="456">
        <f>D97*F97</f>
        <v>0.15429999999999999</v>
      </c>
      <c r="I97" s="908">
        <v>56</v>
      </c>
      <c r="J97" s="522">
        <f>INT(H97*I97*100)/100</f>
        <v>8.64</v>
      </c>
    </row>
    <row r="98" spans="1:10">
      <c r="A98" s="521" t="str">
        <f>A97</f>
        <v>2 S 04 942 52</v>
      </c>
      <c r="B98" s="460" t="str">
        <f>B97</f>
        <v>Entrada d´água - EDA 02 - AC/BC</v>
      </c>
      <c r="C98" s="908" t="s">
        <v>694</v>
      </c>
      <c r="D98" s="462">
        <f>D97</f>
        <v>1</v>
      </c>
      <c r="E98" s="908" t="s">
        <v>695</v>
      </c>
      <c r="F98" s="458">
        <v>4.41E-2</v>
      </c>
      <c r="G98" s="908" t="s">
        <v>696</v>
      </c>
      <c r="H98" s="456">
        <f>D98*F98</f>
        <v>4.41E-2</v>
      </c>
      <c r="I98" s="908">
        <v>11</v>
      </c>
      <c r="J98" s="522">
        <f>INT(H98*I98*100)/100</f>
        <v>0.48</v>
      </c>
    </row>
    <row r="99" spans="1:10">
      <c r="A99" s="521"/>
      <c r="B99" s="460"/>
      <c r="C99" s="908"/>
      <c r="D99" s="462"/>
      <c r="E99" s="908"/>
      <c r="F99" s="458"/>
      <c r="G99" s="908"/>
      <c r="H99" s="456"/>
      <c r="I99" s="908"/>
      <c r="J99" s="522"/>
    </row>
    <row r="100" spans="1:10">
      <c r="A100" s="521" t="str">
        <f>ORÇAMENTO!A58</f>
        <v>2 S 04 950 62</v>
      </c>
      <c r="B100" s="902" t="str">
        <f>ORÇAMENTO!B58</f>
        <v>Dissipador de energia - DES 02 AC/PC</v>
      </c>
      <c r="C100" s="454" t="s">
        <v>692</v>
      </c>
      <c r="D100" s="462">
        <f>ORÇAMENTO!D58</f>
        <v>9</v>
      </c>
      <c r="E100" s="908" t="s">
        <v>695</v>
      </c>
      <c r="F100" s="458">
        <v>0.54139999999999999</v>
      </c>
      <c r="G100" s="908" t="s">
        <v>696</v>
      </c>
      <c r="H100" s="456">
        <f>D100*F100</f>
        <v>4.8726000000000003</v>
      </c>
      <c r="I100" s="908">
        <v>16</v>
      </c>
      <c r="J100" s="522">
        <f>INT(H100*I100*100)/100</f>
        <v>77.959999999999994</v>
      </c>
    </row>
    <row r="101" spans="1:10">
      <c r="A101" s="521" t="str">
        <f>A100</f>
        <v>2 S 04 950 62</v>
      </c>
      <c r="B101" s="460" t="str">
        <f>B100</f>
        <v>Dissipador de energia - DES 02 AC/PC</v>
      </c>
      <c r="C101" s="908" t="s">
        <v>693</v>
      </c>
      <c r="D101" s="462">
        <f>D100</f>
        <v>9</v>
      </c>
      <c r="E101" s="908" t="s">
        <v>695</v>
      </c>
      <c r="F101" s="458">
        <v>1.1279999999999999</v>
      </c>
      <c r="G101" s="908" t="s">
        <v>696</v>
      </c>
      <c r="H101" s="456">
        <f>D101*F101</f>
        <v>10.151999999999999</v>
      </c>
      <c r="I101" s="908">
        <v>56</v>
      </c>
      <c r="J101" s="522">
        <f>INT(H101*I101*100)/100</f>
        <v>568.51</v>
      </c>
    </row>
    <row r="102" spans="1:10">
      <c r="A102" s="521" t="str">
        <f>A101</f>
        <v>2 S 04 950 62</v>
      </c>
      <c r="B102" s="460" t="str">
        <f>B101</f>
        <v>Dissipador de energia - DES 02 AC/PC</v>
      </c>
      <c r="C102" s="908" t="s">
        <v>694</v>
      </c>
      <c r="D102" s="462">
        <f>D100</f>
        <v>9</v>
      </c>
      <c r="E102" s="908" t="s">
        <v>695</v>
      </c>
      <c r="F102" s="458">
        <v>0.14729999999999999</v>
      </c>
      <c r="G102" s="908" t="s">
        <v>696</v>
      </c>
      <c r="H102" s="456">
        <f>D102*F102</f>
        <v>1.3256999999999999</v>
      </c>
      <c r="I102" s="908">
        <v>11</v>
      </c>
      <c r="J102" s="522">
        <f>INT(H102*I102*100)/100</f>
        <v>14.58</v>
      </c>
    </row>
    <row r="103" spans="1:10">
      <c r="A103" s="521"/>
      <c r="B103" s="460"/>
      <c r="C103" s="908"/>
      <c r="D103" s="462"/>
      <c r="E103" s="908"/>
      <c r="F103" s="458"/>
      <c r="G103" s="908"/>
      <c r="H103" s="456"/>
      <c r="I103" s="908"/>
      <c r="J103" s="522"/>
    </row>
    <row r="104" spans="1:10">
      <c r="A104" s="521" t="str">
        <f>ORÇAMENTO!A59</f>
        <v>2 S 04 950 71</v>
      </c>
      <c r="B104" s="460" t="str">
        <f>ORÇAMENTO!B59</f>
        <v>Dissipador de energia - DEB 01 AC/BC/PC</v>
      </c>
      <c r="C104" s="454" t="s">
        <v>692</v>
      </c>
      <c r="D104" s="462">
        <f>ORÇAMENTO!D59</f>
        <v>11</v>
      </c>
      <c r="E104" s="908" t="s">
        <v>695</v>
      </c>
      <c r="F104" s="458">
        <v>0.44919999999999999</v>
      </c>
      <c r="G104" s="908" t="s">
        <v>696</v>
      </c>
      <c r="H104" s="456">
        <f>D104*F104</f>
        <v>4.9412000000000003</v>
      </c>
      <c r="I104" s="908">
        <v>16</v>
      </c>
      <c r="J104" s="522">
        <f>INT(H104*I104*100)/100</f>
        <v>79.05</v>
      </c>
    </row>
    <row r="105" spans="1:10">
      <c r="A105" s="521" t="str">
        <f>A104</f>
        <v>2 S 04 950 71</v>
      </c>
      <c r="B105" s="460" t="str">
        <f>B104</f>
        <v>Dissipador de energia - DEB 01 AC/BC/PC</v>
      </c>
      <c r="C105" s="908" t="s">
        <v>693</v>
      </c>
      <c r="D105" s="462">
        <f>D104</f>
        <v>11</v>
      </c>
      <c r="E105" s="908" t="s">
        <v>695</v>
      </c>
      <c r="F105" s="458">
        <v>0.68540000000000001</v>
      </c>
      <c r="G105" s="908" t="s">
        <v>696</v>
      </c>
      <c r="H105" s="456">
        <f>D105*F105</f>
        <v>7.5394000000000005</v>
      </c>
      <c r="I105" s="908">
        <v>56</v>
      </c>
      <c r="J105" s="522">
        <f>INT(H105*I105*100)/100</f>
        <v>422.2</v>
      </c>
    </row>
    <row r="106" spans="1:10">
      <c r="A106" s="521" t="str">
        <f>A105</f>
        <v>2 S 04 950 71</v>
      </c>
      <c r="B106" s="460" t="str">
        <f>B105</f>
        <v>Dissipador de energia - DEB 01 AC/BC/PC</v>
      </c>
      <c r="C106" s="908" t="s">
        <v>694</v>
      </c>
      <c r="D106" s="462">
        <f>D105</f>
        <v>11</v>
      </c>
      <c r="E106" s="908" t="s">
        <v>695</v>
      </c>
      <c r="F106" s="458">
        <v>0.14169999999999999</v>
      </c>
      <c r="G106" s="908" t="s">
        <v>696</v>
      </c>
      <c r="H106" s="456">
        <f>D106*F106</f>
        <v>1.5587</v>
      </c>
      <c r="I106" s="908">
        <v>11</v>
      </c>
      <c r="J106" s="522">
        <f>INT(H106*I106*100)/100</f>
        <v>17.14</v>
      </c>
    </row>
    <row r="107" spans="1:10">
      <c r="A107" s="521"/>
      <c r="B107" s="460"/>
      <c r="C107" s="908"/>
      <c r="D107" s="462"/>
      <c r="E107" s="908"/>
      <c r="F107" s="458"/>
      <c r="G107" s="908"/>
      <c r="H107" s="456"/>
      <c r="I107" s="908"/>
      <c r="J107" s="522"/>
    </row>
    <row r="108" spans="1:10">
      <c r="A108" s="521" t="str">
        <f>ORÇAMENTO!A60</f>
        <v>2 S 04 950 79</v>
      </c>
      <c r="B108" s="460" t="str">
        <f>ORÇAMENTO!B60</f>
        <v>Dissipador de energia - DEB 09 AC/BC/PC</v>
      </c>
      <c r="C108" s="454" t="s">
        <v>692</v>
      </c>
      <c r="D108" s="462">
        <f>ORÇAMENTO!D60</f>
        <v>1</v>
      </c>
      <c r="E108" s="908" t="s">
        <v>695</v>
      </c>
      <c r="F108" s="458">
        <v>12.0869</v>
      </c>
      <c r="G108" s="908" t="s">
        <v>696</v>
      </c>
      <c r="H108" s="456">
        <f>D108*F108</f>
        <v>12.0869</v>
      </c>
      <c r="I108" s="908">
        <v>16</v>
      </c>
      <c r="J108" s="522">
        <f>INT(H108*I108*100)/100</f>
        <v>193.39</v>
      </c>
    </row>
    <row r="109" spans="1:10">
      <c r="A109" s="521" t="str">
        <f>A108</f>
        <v>2 S 04 950 79</v>
      </c>
      <c r="B109" s="460" t="str">
        <f>B108</f>
        <v>Dissipador de energia - DEB 09 AC/BC/PC</v>
      </c>
      <c r="C109" s="908" t="s">
        <v>693</v>
      </c>
      <c r="D109" s="462">
        <f>D108</f>
        <v>1</v>
      </c>
      <c r="E109" s="908" t="s">
        <v>695</v>
      </c>
      <c r="F109" s="458">
        <v>20.8687</v>
      </c>
      <c r="G109" s="908" t="s">
        <v>696</v>
      </c>
      <c r="H109" s="456">
        <f>D109*F109</f>
        <v>20.8687</v>
      </c>
      <c r="I109" s="908">
        <v>56</v>
      </c>
      <c r="J109" s="522">
        <f>INT(H109*I109*100)/100</f>
        <v>1168.6400000000001</v>
      </c>
    </row>
    <row r="110" spans="1:10">
      <c r="A110" s="521" t="str">
        <f>A109</f>
        <v>2 S 04 950 79</v>
      </c>
      <c r="B110" s="460" t="str">
        <f>B108</f>
        <v>Dissipador de energia - DEB 09 AC/BC/PC</v>
      </c>
      <c r="C110" s="908" t="s">
        <v>694</v>
      </c>
      <c r="D110" s="462">
        <f>D108</f>
        <v>1</v>
      </c>
      <c r="E110" s="908" t="s">
        <v>695</v>
      </c>
      <c r="F110" s="458">
        <v>3.6272000000000002</v>
      </c>
      <c r="G110" s="908" t="s">
        <v>696</v>
      </c>
      <c r="H110" s="456">
        <f>D110*F110</f>
        <v>3.6272000000000002</v>
      </c>
      <c r="I110" s="908">
        <v>11</v>
      </c>
      <c r="J110" s="522">
        <f>INT(H110*I110*100)/100</f>
        <v>39.89</v>
      </c>
    </row>
    <row r="111" spans="1:10">
      <c r="A111" s="521" t="s">
        <v>20</v>
      </c>
      <c r="B111" s="460"/>
      <c r="C111" s="908"/>
      <c r="D111" s="462"/>
      <c r="E111" s="908"/>
      <c r="F111" s="458"/>
      <c r="G111" s="908"/>
      <c r="H111" s="456"/>
      <c r="I111" s="908"/>
      <c r="J111" s="750">
        <f>SUM(J69:J110)</f>
        <v>82459.959999999992</v>
      </c>
    </row>
    <row r="112" spans="1:10">
      <c r="A112" s="521"/>
      <c r="B112" s="460"/>
      <c r="C112" s="908"/>
      <c r="D112" s="462"/>
      <c r="E112" s="908"/>
      <c r="F112" s="458"/>
      <c r="G112" s="908"/>
      <c r="H112" s="456"/>
      <c r="I112" s="908"/>
      <c r="J112" s="522"/>
    </row>
    <row r="113" spans="1:10">
      <c r="A113" s="904" t="str">
        <f>ORÇAMENTO!B67</f>
        <v>OBRAS DE ARTE CORRENTES</v>
      </c>
      <c r="B113" s="460"/>
      <c r="C113" s="461"/>
      <c r="D113" s="462"/>
      <c r="E113" s="908"/>
      <c r="F113" s="458"/>
      <c r="G113" s="908"/>
      <c r="H113" s="456"/>
      <c r="I113" s="908"/>
      <c r="J113" s="522"/>
    </row>
    <row r="114" spans="1:10">
      <c r="A114" s="521" t="str">
        <f>ORÇAMENTO!A72</f>
        <v>A 01 155 51</v>
      </c>
      <c r="B114" s="460" t="str">
        <f>ORÇAMENTO!B72</f>
        <v>Enrocamento de pedra jogada - PC</v>
      </c>
      <c r="C114" s="454" t="s">
        <v>692</v>
      </c>
      <c r="D114" s="462">
        <f>ORÇAMENTO!D72</f>
        <v>200</v>
      </c>
      <c r="E114" s="908" t="s">
        <v>695</v>
      </c>
      <c r="F114" s="458">
        <v>1.5</v>
      </c>
      <c r="G114" s="908" t="s">
        <v>696</v>
      </c>
      <c r="H114" s="456">
        <f>D114*F114</f>
        <v>300</v>
      </c>
      <c r="I114" s="908">
        <v>56</v>
      </c>
      <c r="J114" s="522">
        <f>INT(H114*I114*100)/100</f>
        <v>16800</v>
      </c>
    </row>
    <row r="115" spans="1:10">
      <c r="A115" s="521"/>
      <c r="B115" s="460"/>
      <c r="C115" s="461"/>
      <c r="D115" s="462"/>
      <c r="E115" s="908"/>
      <c r="F115" s="458"/>
      <c r="G115" s="908"/>
      <c r="H115" s="456"/>
      <c r="I115" s="908"/>
      <c r="J115" s="522"/>
    </row>
    <row r="116" spans="1:10">
      <c r="A116" s="521" t="str">
        <f>ORÇAMENTO!A73</f>
        <v>2 S 04 100 53</v>
      </c>
      <c r="B116" s="902" t="str">
        <f>ORÇAMENTO!B73</f>
        <v>Corpo BSTC D=1,00 m AC/BC/PC</v>
      </c>
      <c r="C116" s="454" t="s">
        <v>692</v>
      </c>
      <c r="D116" s="462">
        <f>ORÇAMENTO!D73</f>
        <v>56</v>
      </c>
      <c r="E116" s="908" t="s">
        <v>10</v>
      </c>
      <c r="F116" s="458">
        <v>0.4007</v>
      </c>
      <c r="G116" s="908" t="s">
        <v>690</v>
      </c>
      <c r="H116" s="456">
        <f>D116*F116</f>
        <v>22.4392</v>
      </c>
      <c r="I116" s="908">
        <v>17</v>
      </c>
      <c r="J116" s="522">
        <f>INT(H116*I116*100)/100</f>
        <v>381.46</v>
      </c>
    </row>
    <row r="117" spans="1:10">
      <c r="A117" s="521" t="str">
        <f t="shared" ref="A117:B119" si="2">A116</f>
        <v>2 S 04 100 53</v>
      </c>
      <c r="B117" s="460" t="str">
        <f t="shared" si="2"/>
        <v>Corpo BSTC D=1,00 m AC/BC/PC</v>
      </c>
      <c r="C117" s="908" t="s">
        <v>693</v>
      </c>
      <c r="D117" s="462">
        <f>D116</f>
        <v>56</v>
      </c>
      <c r="E117" s="908" t="str">
        <f>E116</f>
        <v>m</v>
      </c>
      <c r="F117" s="458">
        <v>1.0436000000000001</v>
      </c>
      <c r="G117" s="908" t="s">
        <v>690</v>
      </c>
      <c r="H117" s="456">
        <f>D117*F117</f>
        <v>58.441600000000008</v>
      </c>
      <c r="I117" s="908">
        <v>57</v>
      </c>
      <c r="J117" s="522">
        <f>INT(H117*I117*100)/100</f>
        <v>3331.17</v>
      </c>
    </row>
    <row r="118" spans="1:10">
      <c r="A118" s="521" t="str">
        <f t="shared" si="2"/>
        <v>2 S 04 100 53</v>
      </c>
      <c r="B118" s="460" t="str">
        <f t="shared" si="2"/>
        <v>Corpo BSTC D=1,00 m AC/BC/PC</v>
      </c>
      <c r="C118" s="908" t="s">
        <v>694</v>
      </c>
      <c r="D118" s="462">
        <f>D117</f>
        <v>56</v>
      </c>
      <c r="E118" s="908" t="s">
        <v>10</v>
      </c>
      <c r="F118" s="458">
        <v>0.27760000000000001</v>
      </c>
      <c r="G118" s="908" t="s">
        <v>690</v>
      </c>
      <c r="H118" s="456">
        <f>D118*F118</f>
        <v>15.5456</v>
      </c>
      <c r="I118" s="908">
        <v>12</v>
      </c>
      <c r="J118" s="522">
        <f>INT(H118*I118*100)/100</f>
        <v>186.54</v>
      </c>
    </row>
    <row r="119" spans="1:10">
      <c r="A119" s="521" t="str">
        <f t="shared" si="2"/>
        <v>2 S 04 100 53</v>
      </c>
      <c r="B119" s="460" t="str">
        <f t="shared" si="2"/>
        <v>Corpo BSTC D=1,00 m AC/BC/PC</v>
      </c>
      <c r="C119" s="908" t="s">
        <v>700</v>
      </c>
      <c r="D119" s="462">
        <f>D118</f>
        <v>56</v>
      </c>
      <c r="E119" s="908" t="s">
        <v>10</v>
      </c>
      <c r="F119" s="458">
        <v>1.0129999999999999</v>
      </c>
      <c r="G119" s="908" t="s">
        <v>690</v>
      </c>
      <c r="H119" s="456">
        <f>D119*F119</f>
        <v>56.727999999999994</v>
      </c>
      <c r="I119" s="908">
        <v>12</v>
      </c>
      <c r="J119" s="522">
        <f>INT(H119*I119*100)/100</f>
        <v>680.73</v>
      </c>
    </row>
    <row r="120" spans="1:10">
      <c r="A120" s="521"/>
      <c r="B120" s="460"/>
      <c r="C120" s="908"/>
      <c r="D120" s="462"/>
      <c r="E120" s="908"/>
      <c r="F120" s="458"/>
      <c r="G120" s="908"/>
      <c r="H120" s="456"/>
      <c r="I120" s="908"/>
      <c r="J120" s="522"/>
    </row>
    <row r="121" spans="1:10">
      <c r="A121" s="521" t="str">
        <f>ORÇAMENTO!A75</f>
        <v>2 S 04 101 53</v>
      </c>
      <c r="B121" s="460" t="str">
        <f>ORÇAMENTO!B75</f>
        <v>Boca BSTC D=1,00m normal - AC/BC/PC</v>
      </c>
      <c r="C121" s="454" t="s">
        <v>692</v>
      </c>
      <c r="D121" s="462">
        <f>ORÇAMENTO!D75</f>
        <v>8</v>
      </c>
      <c r="E121" s="908" t="s">
        <v>695</v>
      </c>
      <c r="F121" s="458">
        <v>2.5246</v>
      </c>
      <c r="G121" s="908" t="s">
        <v>696</v>
      </c>
      <c r="H121" s="456">
        <f>D121*F121</f>
        <v>20.1968</v>
      </c>
      <c r="I121" s="908">
        <v>16</v>
      </c>
      <c r="J121" s="522">
        <f>INT(H121*I121*100)/100</f>
        <v>323.14</v>
      </c>
    </row>
    <row r="122" spans="1:10">
      <c r="A122" s="521" t="str">
        <f>A121</f>
        <v>2 S 04 101 53</v>
      </c>
      <c r="B122" s="460" t="str">
        <f>B121</f>
        <v>Boca BSTC D=1,00m normal - AC/BC/PC</v>
      </c>
      <c r="C122" s="908" t="s">
        <v>693</v>
      </c>
      <c r="D122" s="462">
        <f>D121</f>
        <v>8</v>
      </c>
      <c r="E122" s="908" t="s">
        <v>695</v>
      </c>
      <c r="F122" s="458">
        <v>3.4529000000000001</v>
      </c>
      <c r="G122" s="908" t="s">
        <v>696</v>
      </c>
      <c r="H122" s="456">
        <f>D122*F122</f>
        <v>27.623200000000001</v>
      </c>
      <c r="I122" s="908">
        <v>56</v>
      </c>
      <c r="J122" s="522">
        <f>INT(H122*I122*100)/100</f>
        <v>1546.89</v>
      </c>
    </row>
    <row r="123" spans="1:10">
      <c r="A123" s="521" t="str">
        <f>A122</f>
        <v>2 S 04 101 53</v>
      </c>
      <c r="B123" s="460" t="str">
        <f>B122</f>
        <v>Boca BSTC D=1,00m normal - AC/BC/PC</v>
      </c>
      <c r="C123" s="908" t="s">
        <v>694</v>
      </c>
      <c r="D123" s="462">
        <f>D122</f>
        <v>8</v>
      </c>
      <c r="E123" s="908" t="s">
        <v>695</v>
      </c>
      <c r="F123" s="458">
        <v>0.82899999999999996</v>
      </c>
      <c r="G123" s="908" t="s">
        <v>696</v>
      </c>
      <c r="H123" s="456">
        <f>D123*F123</f>
        <v>6.6319999999999997</v>
      </c>
      <c r="I123" s="908">
        <v>11</v>
      </c>
      <c r="J123" s="522">
        <f>INT(H123*I123*100)/100</f>
        <v>72.95</v>
      </c>
    </row>
    <row r="124" spans="1:10">
      <c r="A124" s="521"/>
      <c r="B124" s="460"/>
      <c r="C124" s="461"/>
      <c r="D124" s="462"/>
      <c r="E124" s="908"/>
      <c r="F124" s="458"/>
      <c r="G124" s="908"/>
      <c r="H124" s="456"/>
      <c r="I124" s="908"/>
      <c r="J124" s="522"/>
    </row>
    <row r="125" spans="1:10">
      <c r="A125" s="521" t="str">
        <f>ORÇAMENTO!A74</f>
        <v>2 S 04 200 60</v>
      </c>
      <c r="B125" s="460" t="str">
        <f>ORÇAMENTO!B74</f>
        <v>Corpo BSCC 2,00x2,00 m alt. 2,50 a 5,00m - AC/BC</v>
      </c>
      <c r="C125" s="454" t="s">
        <v>692</v>
      </c>
      <c r="D125" s="462">
        <f>ORÇAMENTO!D74</f>
        <v>19</v>
      </c>
      <c r="E125" s="908" t="s">
        <v>10</v>
      </c>
      <c r="F125" s="757">
        <v>1.0749</v>
      </c>
      <c r="G125" s="908" t="s">
        <v>696</v>
      </c>
      <c r="H125" s="456">
        <f>D125*F125</f>
        <v>20.423099999999998</v>
      </c>
      <c r="I125" s="908">
        <v>16</v>
      </c>
      <c r="J125" s="522">
        <f>INT(H125*I125*100)/100</f>
        <v>326.76</v>
      </c>
    </row>
    <row r="126" spans="1:10">
      <c r="A126" s="521" t="str">
        <f t="shared" ref="A126:B128" si="3">A125</f>
        <v>2 S 04 200 60</v>
      </c>
      <c r="B126" s="460" t="str">
        <f t="shared" si="3"/>
        <v>Corpo BSCC 2,00x2,00 m alt. 2,50 a 5,00m - AC/BC</v>
      </c>
      <c r="C126" s="908" t="s">
        <v>693</v>
      </c>
      <c r="D126" s="462">
        <f>D125</f>
        <v>19</v>
      </c>
      <c r="E126" s="908" t="str">
        <f>E125</f>
        <v>m</v>
      </c>
      <c r="F126" s="757">
        <v>1.2908999999999999</v>
      </c>
      <c r="G126" s="908" t="s">
        <v>696</v>
      </c>
      <c r="H126" s="456">
        <f>D126*F126</f>
        <v>24.527099999999997</v>
      </c>
      <c r="I126" s="908">
        <v>56</v>
      </c>
      <c r="J126" s="522">
        <f>INT(H126*I126*100)/100</f>
        <v>1373.51</v>
      </c>
    </row>
    <row r="127" spans="1:10">
      <c r="A127" s="521" t="str">
        <f t="shared" si="3"/>
        <v>2 S 04 200 60</v>
      </c>
      <c r="B127" s="460" t="str">
        <f t="shared" si="3"/>
        <v>Corpo BSCC 2,00x2,00 m alt. 2,50 a 5,00m - AC/BC</v>
      </c>
      <c r="C127" s="908" t="s">
        <v>694</v>
      </c>
      <c r="D127" s="462">
        <f>D126</f>
        <v>19</v>
      </c>
      <c r="E127" s="908" t="s">
        <v>10</v>
      </c>
      <c r="F127" s="458">
        <v>0.45419999999999999</v>
      </c>
      <c r="G127" s="908" t="s">
        <v>696</v>
      </c>
      <c r="H127" s="456">
        <f>D127*F127</f>
        <v>8.6297999999999995</v>
      </c>
      <c r="I127" s="908">
        <v>11</v>
      </c>
      <c r="J127" s="522">
        <f>INT(H127*I127*100)/100</f>
        <v>94.92</v>
      </c>
    </row>
    <row r="128" spans="1:10">
      <c r="A128" s="521" t="str">
        <f t="shared" si="3"/>
        <v>2 S 04 200 60</v>
      </c>
      <c r="B128" s="460" t="str">
        <f t="shared" si="3"/>
        <v>Corpo BSCC 2,00x2,00 m alt. 2,50 a 5,00m - AC/BC</v>
      </c>
      <c r="C128" s="908" t="s">
        <v>894</v>
      </c>
      <c r="D128" s="462">
        <f>D127</f>
        <v>19</v>
      </c>
      <c r="E128" s="908" t="s">
        <v>10</v>
      </c>
      <c r="F128" s="458">
        <v>0.111</v>
      </c>
      <c r="G128" s="908" t="s">
        <v>696</v>
      </c>
      <c r="H128" s="456">
        <f>D128*F128</f>
        <v>2.109</v>
      </c>
      <c r="I128" s="908">
        <v>11</v>
      </c>
      <c r="J128" s="522">
        <f>INT(H128*I128*100)/100</f>
        <v>23.19</v>
      </c>
    </row>
    <row r="129" spans="1:10">
      <c r="A129" s="521"/>
      <c r="B129" s="460"/>
      <c r="C129" s="461"/>
      <c r="D129" s="462"/>
      <c r="E129" s="908"/>
      <c r="F129" s="458"/>
      <c r="G129" s="908"/>
      <c r="H129" s="456"/>
      <c r="I129" s="908"/>
      <c r="J129" s="522"/>
    </row>
    <row r="130" spans="1:10">
      <c r="A130" s="521" t="str">
        <f>ORÇAMENTO!A76</f>
        <v>2 S 04 201 52</v>
      </c>
      <c r="B130" s="460" t="str">
        <f>ORÇAMENTO!B76</f>
        <v>Boca BSCC 2,00x2,00 m normal - AC/BC</v>
      </c>
      <c r="C130" s="454" t="s">
        <v>692</v>
      </c>
      <c r="D130" s="462">
        <f>ORÇAMENTO!D76</f>
        <v>1</v>
      </c>
      <c r="E130" s="908" t="s">
        <v>695</v>
      </c>
      <c r="F130" s="458">
        <v>0.32850000000000001</v>
      </c>
      <c r="G130" s="908" t="s">
        <v>696</v>
      </c>
      <c r="H130" s="456">
        <f>D130*F130</f>
        <v>0.32850000000000001</v>
      </c>
      <c r="I130" s="908">
        <v>16</v>
      </c>
      <c r="J130" s="522">
        <f>INT(H130*I130*100)/100</f>
        <v>5.25</v>
      </c>
    </row>
    <row r="131" spans="1:10">
      <c r="A131" s="521" t="str">
        <f t="shared" ref="A131:B133" si="4">A130</f>
        <v>2 S 04 201 52</v>
      </c>
      <c r="B131" s="460" t="str">
        <f t="shared" si="4"/>
        <v>Boca BSCC 2,00x2,00 m normal - AC/BC</v>
      </c>
      <c r="C131" s="908" t="s">
        <v>693</v>
      </c>
      <c r="D131" s="462">
        <f>D130</f>
        <v>1</v>
      </c>
      <c r="E131" s="908" t="s">
        <v>695</v>
      </c>
      <c r="F131" s="458">
        <v>8.3865999999999996</v>
      </c>
      <c r="G131" s="908" t="s">
        <v>696</v>
      </c>
      <c r="H131" s="456">
        <f>D131*F131</f>
        <v>8.3865999999999996</v>
      </c>
      <c r="I131" s="908">
        <v>56</v>
      </c>
      <c r="J131" s="522">
        <f>INT(H131*I131*100)/100</f>
        <v>469.64</v>
      </c>
    </row>
    <row r="132" spans="1:10">
      <c r="A132" s="521" t="str">
        <f t="shared" si="4"/>
        <v>2 S 04 201 52</v>
      </c>
      <c r="B132" s="460" t="str">
        <f t="shared" si="4"/>
        <v>Boca BSCC 2,00x2,00 m normal - AC/BC</v>
      </c>
      <c r="C132" s="908" t="s">
        <v>694</v>
      </c>
      <c r="D132" s="462">
        <f>D131</f>
        <v>1</v>
      </c>
      <c r="E132" s="908" t="s">
        <v>695</v>
      </c>
      <c r="F132" s="458">
        <v>1.4285000000000001</v>
      </c>
      <c r="G132" s="908" t="s">
        <v>696</v>
      </c>
      <c r="H132" s="456">
        <f>D132*F132</f>
        <v>1.4285000000000001</v>
      </c>
      <c r="I132" s="908">
        <v>11</v>
      </c>
      <c r="J132" s="522">
        <f>INT(H132*I132*100)/100</f>
        <v>15.71</v>
      </c>
    </row>
    <row r="133" spans="1:10">
      <c r="A133" s="521" t="str">
        <f t="shared" si="4"/>
        <v>2 S 04 201 52</v>
      </c>
      <c r="B133" s="460" t="str">
        <f t="shared" si="4"/>
        <v>Boca BSCC 2,00x2,00 m normal - AC/BC</v>
      </c>
      <c r="C133" s="908" t="s">
        <v>894</v>
      </c>
      <c r="D133" s="462">
        <f>D132</f>
        <v>1</v>
      </c>
      <c r="E133" s="908" t="s">
        <v>695</v>
      </c>
      <c r="F133" s="458">
        <v>0.63749999999999996</v>
      </c>
      <c r="G133" s="908" t="s">
        <v>696</v>
      </c>
      <c r="H133" s="456">
        <f>D133*F133</f>
        <v>0.63749999999999996</v>
      </c>
      <c r="I133" s="908">
        <v>11</v>
      </c>
      <c r="J133" s="522">
        <f>INT(H133*I133*100)/100</f>
        <v>7.01</v>
      </c>
    </row>
    <row r="134" spans="1:10" ht="13.5" thickBot="1">
      <c r="A134" s="931" t="s">
        <v>20</v>
      </c>
      <c r="B134" s="1380"/>
      <c r="C134" s="1381"/>
      <c r="D134" s="1381"/>
      <c r="E134" s="1381"/>
      <c r="F134" s="1381"/>
      <c r="G134" s="1381"/>
      <c r="H134" s="1381"/>
      <c r="I134" s="1382"/>
      <c r="J134" s="932">
        <f>SUM(J114:J133)</f>
        <v>25638.869999999988</v>
      </c>
    </row>
  </sheetData>
  <mergeCells count="63">
    <mergeCell ref="A13:H13"/>
    <mergeCell ref="A5:J5"/>
    <mergeCell ref="A6:J6"/>
    <mergeCell ref="A7:A8"/>
    <mergeCell ref="B7:B8"/>
    <mergeCell ref="C7:C8"/>
    <mergeCell ref="D7:D8"/>
    <mergeCell ref="E7:E8"/>
    <mergeCell ref="F7:G7"/>
    <mergeCell ref="H7:H8"/>
    <mergeCell ref="I7:I8"/>
    <mergeCell ref="J7:J8"/>
    <mergeCell ref="F14:G14"/>
    <mergeCell ref="H14:H15"/>
    <mergeCell ref="I14:I15"/>
    <mergeCell ref="J14:J15"/>
    <mergeCell ref="A20:J20"/>
    <mergeCell ref="A14:A15"/>
    <mergeCell ref="B14:B15"/>
    <mergeCell ref="C14:C15"/>
    <mergeCell ref="D14:D15"/>
    <mergeCell ref="E14:E15"/>
    <mergeCell ref="F22:G22"/>
    <mergeCell ref="H22:H23"/>
    <mergeCell ref="I22:I23"/>
    <mergeCell ref="J22:J23"/>
    <mergeCell ref="A30:J30"/>
    <mergeCell ref="A22:A23"/>
    <mergeCell ref="B22:B23"/>
    <mergeCell ref="C22:C23"/>
    <mergeCell ref="D22:D23"/>
    <mergeCell ref="E22:E23"/>
    <mergeCell ref="A28:J28"/>
    <mergeCell ref="H32:H33"/>
    <mergeCell ref="H67:H68"/>
    <mergeCell ref="A41:J41"/>
    <mergeCell ref="A42:A43"/>
    <mergeCell ref="I32:I33"/>
    <mergeCell ref="J32:J33"/>
    <mergeCell ref="C32:C33"/>
    <mergeCell ref="D32:D33"/>
    <mergeCell ref="E32:E33"/>
    <mergeCell ref="E67:E68"/>
    <mergeCell ref="F67:G67"/>
    <mergeCell ref="A32:A33"/>
    <mergeCell ref="B32:B33"/>
    <mergeCell ref="F32:G32"/>
    <mergeCell ref="B134:I134"/>
    <mergeCell ref="A65:J65"/>
    <mergeCell ref="I42:I43"/>
    <mergeCell ref="J42:J43"/>
    <mergeCell ref="D42:D43"/>
    <mergeCell ref="E42:E43"/>
    <mergeCell ref="F42:G42"/>
    <mergeCell ref="H42:H43"/>
    <mergeCell ref="B42:B43"/>
    <mergeCell ref="C42:C43"/>
    <mergeCell ref="I67:I68"/>
    <mergeCell ref="J67:J68"/>
    <mergeCell ref="A67:A68"/>
    <mergeCell ref="B67:B68"/>
    <mergeCell ref="C67:C68"/>
    <mergeCell ref="D67:D68"/>
  </mergeCells>
  <printOptions horizontalCentered="1"/>
  <pageMargins left="0.51181102362204722" right="0.31496062992125984" top="0.59055118110236227" bottom="0.3937007874015748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activeCell="T17" sqref="T17"/>
    </sheetView>
  </sheetViews>
  <sheetFormatPr defaultRowHeight="12.75"/>
  <cols>
    <col min="1" max="1" width="4.28515625" customWidth="1"/>
    <col min="2" max="2" width="12.140625" customWidth="1"/>
    <col min="3" max="3" width="26.140625" customWidth="1"/>
    <col min="4" max="4" width="13.140625" customWidth="1"/>
    <col min="5" max="5" width="11.7109375" customWidth="1"/>
    <col min="6" max="6" width="13.42578125" customWidth="1"/>
    <col min="7" max="8" width="12.7109375" customWidth="1"/>
    <col min="9" max="9" width="12.85546875" customWidth="1"/>
    <col min="10" max="10" width="12.5703125" customWidth="1"/>
    <col min="11" max="11" width="13" customWidth="1"/>
    <col min="12" max="12" width="12.85546875" customWidth="1"/>
    <col min="13" max="13" width="13.42578125" customWidth="1"/>
    <col min="14" max="14" width="13.28515625" customWidth="1"/>
    <col min="15" max="15" width="13.7109375" customWidth="1"/>
    <col min="16" max="16" width="13.42578125" customWidth="1"/>
  </cols>
  <sheetData>
    <row r="1" spans="1:16" ht="21" thickBot="1">
      <c r="A1" s="1395" t="s">
        <v>726</v>
      </c>
      <c r="B1" s="1396"/>
      <c r="C1" s="1396"/>
      <c r="D1" s="1396"/>
      <c r="E1" s="1396"/>
      <c r="F1" s="1396"/>
      <c r="G1" s="1396"/>
      <c r="H1" s="1396"/>
      <c r="I1" s="1396"/>
      <c r="J1" s="1396"/>
      <c r="K1" s="1396"/>
      <c r="L1" s="1396"/>
      <c r="M1" s="1396"/>
      <c r="N1" s="1396"/>
      <c r="O1" s="1396"/>
      <c r="P1" s="1397"/>
    </row>
    <row r="2" spans="1:16">
      <c r="A2" s="1412" t="str">
        <f>RESUMO!A46</f>
        <v xml:space="preserve">RODOVIA:  </v>
      </c>
      <c r="B2" s="1413"/>
      <c r="C2" s="924" t="str">
        <f>RESUMO!B46</f>
        <v>Acesso ao Distrito Limpo Grande</v>
      </c>
      <c r="D2" s="924"/>
      <c r="E2" s="924"/>
      <c r="F2" s="924"/>
      <c r="G2" s="924"/>
      <c r="H2" s="924"/>
      <c r="I2" s="924"/>
      <c r="J2" s="924"/>
      <c r="K2" s="924"/>
      <c r="L2" s="924"/>
      <c r="M2" s="924"/>
      <c r="N2" s="924"/>
      <c r="O2" s="924"/>
      <c r="P2" s="925"/>
    </row>
    <row r="3" spans="1:16">
      <c r="A3" s="1414" t="str">
        <f>RESUMO!A47</f>
        <v xml:space="preserve">TRECHO:  </v>
      </c>
      <c r="B3" s="1415"/>
      <c r="C3" s="926" t="str">
        <f>RESUMO!B47</f>
        <v xml:space="preserve"> Entº da MT-351 - Distrito de Limpo Grande</v>
      </c>
      <c r="D3" s="926"/>
      <c r="E3" s="926"/>
      <c r="F3" s="926"/>
      <c r="G3" s="926"/>
      <c r="H3" s="926"/>
      <c r="I3" s="926"/>
      <c r="J3" s="926"/>
      <c r="K3" s="926"/>
      <c r="L3" s="926"/>
      <c r="M3" s="926"/>
      <c r="N3" s="926"/>
      <c r="O3" s="926"/>
      <c r="P3" s="927"/>
    </row>
    <row r="4" spans="1:16" ht="13.5" thickBot="1">
      <c r="A4" s="1421" t="str">
        <f>RESUMO!A43</f>
        <v>EXTENSÃO (km):</v>
      </c>
      <c r="B4" s="1422"/>
      <c r="C4" s="928">
        <f>RESUMO!C43</f>
        <v>4.0734000000000004</v>
      </c>
      <c r="D4" s="926"/>
      <c r="E4" s="926"/>
      <c r="F4" s="926"/>
      <c r="G4" s="926"/>
      <c r="H4" s="926"/>
      <c r="I4" s="926"/>
      <c r="J4" s="926"/>
      <c r="K4" s="926"/>
      <c r="L4" s="926"/>
      <c r="M4" s="926"/>
      <c r="N4" s="926"/>
      <c r="O4" s="926"/>
      <c r="P4" s="927"/>
    </row>
    <row r="5" spans="1:16" ht="16.5" thickBot="1">
      <c r="A5" s="1398" t="s">
        <v>0</v>
      </c>
      <c r="B5" s="1401" t="s">
        <v>727</v>
      </c>
      <c r="C5" s="1402"/>
      <c r="D5" s="1407" t="s">
        <v>728</v>
      </c>
      <c r="E5" s="1408"/>
      <c r="F5" s="1408"/>
      <c r="G5" s="1408"/>
      <c r="H5" s="1408"/>
      <c r="I5" s="1408"/>
      <c r="J5" s="1408"/>
      <c r="K5" s="1408"/>
      <c r="L5" s="1408"/>
      <c r="M5" s="1408"/>
      <c r="N5" s="1408"/>
      <c r="O5" s="1408"/>
      <c r="P5" s="1409"/>
    </row>
    <row r="6" spans="1:16">
      <c r="A6" s="1399"/>
      <c r="B6" s="1403"/>
      <c r="C6" s="1404"/>
      <c r="D6" s="567" t="s">
        <v>16</v>
      </c>
      <c r="E6" s="568" t="s">
        <v>729</v>
      </c>
      <c r="F6" s="568" t="s">
        <v>730</v>
      </c>
      <c r="G6" s="568" t="s">
        <v>731</v>
      </c>
      <c r="H6" s="568" t="s">
        <v>732</v>
      </c>
      <c r="I6" s="568" t="s">
        <v>733</v>
      </c>
      <c r="J6" s="568" t="s">
        <v>734</v>
      </c>
      <c r="K6" s="568" t="s">
        <v>735</v>
      </c>
      <c r="L6" s="568" t="s">
        <v>736</v>
      </c>
      <c r="M6" s="568" t="s">
        <v>737</v>
      </c>
      <c r="N6" s="568" t="s">
        <v>738</v>
      </c>
      <c r="O6" s="568" t="s">
        <v>739</v>
      </c>
      <c r="P6" s="569" t="s">
        <v>740</v>
      </c>
    </row>
    <row r="7" spans="1:16">
      <c r="A7" s="1399"/>
      <c r="B7" s="1403"/>
      <c r="C7" s="1404"/>
      <c r="D7" s="574" t="s">
        <v>741</v>
      </c>
      <c r="E7" s="575" t="s">
        <v>741</v>
      </c>
      <c r="F7" s="575" t="s">
        <v>741</v>
      </c>
      <c r="G7" s="575" t="s">
        <v>741</v>
      </c>
      <c r="H7" s="575" t="s">
        <v>741</v>
      </c>
      <c r="I7" s="575" t="s">
        <v>741</v>
      </c>
      <c r="J7" s="575" t="s">
        <v>741</v>
      </c>
      <c r="K7" s="575" t="s">
        <v>741</v>
      </c>
      <c r="L7" s="575" t="s">
        <v>741</v>
      </c>
      <c r="M7" s="575" t="s">
        <v>741</v>
      </c>
      <c r="N7" s="575" t="s">
        <v>741</v>
      </c>
      <c r="O7" s="575" t="s">
        <v>741</v>
      </c>
      <c r="P7" s="576" t="s">
        <v>741</v>
      </c>
    </row>
    <row r="8" spans="1:16" ht="13.5" thickBot="1">
      <c r="A8" s="1400"/>
      <c r="B8" s="1405"/>
      <c r="C8" s="1406"/>
      <c r="D8" s="577" t="s">
        <v>283</v>
      </c>
      <c r="E8" s="578" t="s">
        <v>283</v>
      </c>
      <c r="F8" s="578" t="s">
        <v>283</v>
      </c>
      <c r="G8" s="578" t="s">
        <v>283</v>
      </c>
      <c r="H8" s="578" t="s">
        <v>283</v>
      </c>
      <c r="I8" s="578" t="s">
        <v>283</v>
      </c>
      <c r="J8" s="578" t="s">
        <v>283</v>
      </c>
      <c r="K8" s="578" t="s">
        <v>283</v>
      </c>
      <c r="L8" s="578" t="s">
        <v>283</v>
      </c>
      <c r="M8" s="578" t="s">
        <v>283</v>
      </c>
      <c r="N8" s="578" t="s">
        <v>283</v>
      </c>
      <c r="O8" s="578" t="s">
        <v>283</v>
      </c>
      <c r="P8" s="579" t="s">
        <v>283</v>
      </c>
    </row>
    <row r="9" spans="1:16">
      <c r="A9" s="1416" t="str">
        <f>RESUMO!A7</f>
        <v>I</v>
      </c>
      <c r="B9" s="953" t="str">
        <f>RESUMO!B7</f>
        <v>SERVIÇOS PRELIMINARES</v>
      </c>
      <c r="C9" s="599"/>
      <c r="D9" s="600">
        <f>RESUMO!C8</f>
        <v>979229.66999999993</v>
      </c>
      <c r="E9" s="601">
        <f>$D9*E10%</f>
        <v>195845.93400000001</v>
      </c>
      <c r="F9" s="601">
        <f t="shared" ref="F9:O9" si="0">$D9*F10%</f>
        <v>58753.780199999994</v>
      </c>
      <c r="G9" s="601">
        <f t="shared" si="0"/>
        <v>58753.780199999994</v>
      </c>
      <c r="H9" s="601">
        <f t="shared" si="0"/>
        <v>58753.780199999994</v>
      </c>
      <c r="I9" s="601">
        <f t="shared" si="0"/>
        <v>58753.780199999994</v>
      </c>
      <c r="J9" s="601">
        <f t="shared" si="0"/>
        <v>58753.780199999994</v>
      </c>
      <c r="K9" s="601">
        <f t="shared" si="0"/>
        <v>58753.780199999994</v>
      </c>
      <c r="L9" s="601">
        <f t="shared" si="0"/>
        <v>58753.780199999994</v>
      </c>
      <c r="M9" s="601">
        <f t="shared" si="0"/>
        <v>58753.780199999994</v>
      </c>
      <c r="N9" s="601">
        <f t="shared" si="0"/>
        <v>58753.780199999994</v>
      </c>
      <c r="O9" s="601">
        <f t="shared" si="0"/>
        <v>58753.780199999994</v>
      </c>
      <c r="P9" s="602">
        <f>$D9*P10%</f>
        <v>195845.93400000001</v>
      </c>
    </row>
    <row r="10" spans="1:16">
      <c r="A10" s="1417"/>
      <c r="B10" s="603" t="s">
        <v>283</v>
      </c>
      <c r="C10" s="604"/>
      <c r="D10" s="605">
        <f>D9/'[9]QUADRO 03 - RESUMO'!D$32*100</f>
        <v>11.913226410694223</v>
      </c>
      <c r="E10" s="606">
        <v>20</v>
      </c>
      <c r="F10" s="606">
        <v>6</v>
      </c>
      <c r="G10" s="606">
        <v>6</v>
      </c>
      <c r="H10" s="606">
        <v>6</v>
      </c>
      <c r="I10" s="606">
        <v>6</v>
      </c>
      <c r="J10" s="606">
        <v>6</v>
      </c>
      <c r="K10" s="606">
        <v>6</v>
      </c>
      <c r="L10" s="606">
        <v>6</v>
      </c>
      <c r="M10" s="606">
        <v>6</v>
      </c>
      <c r="N10" s="606">
        <v>6</v>
      </c>
      <c r="O10" s="606">
        <v>6</v>
      </c>
      <c r="P10" s="607">
        <v>20</v>
      </c>
    </row>
    <row r="11" spans="1:16">
      <c r="A11" s="1418" t="str">
        <f>RESUMO!A10</f>
        <v>II</v>
      </c>
      <c r="B11" s="1090" t="str">
        <f>RESUMO!B10</f>
        <v>TERRAPLENAGEM</v>
      </c>
      <c r="C11" s="584"/>
      <c r="D11" s="585">
        <f>RESUMO!C11</f>
        <v>572388.68999999994</v>
      </c>
      <c r="E11" s="586">
        <f>$D11*E12%</f>
        <v>28619.434499999999</v>
      </c>
      <c r="F11" s="586">
        <f t="shared" ref="F11:P11" si="1">$D11*F12%</f>
        <v>85858.303499999995</v>
      </c>
      <c r="G11" s="586">
        <f t="shared" si="1"/>
        <v>114477.738</v>
      </c>
      <c r="H11" s="586">
        <f t="shared" si="1"/>
        <v>114477.738</v>
      </c>
      <c r="I11" s="586">
        <f t="shared" si="1"/>
        <v>57238.868999999999</v>
      </c>
      <c r="J11" s="586">
        <f t="shared" si="1"/>
        <v>57238.868999999999</v>
      </c>
      <c r="K11" s="586">
        <f t="shared" si="1"/>
        <v>57238.868999999999</v>
      </c>
      <c r="L11" s="586">
        <f t="shared" si="1"/>
        <v>57238.868999999999</v>
      </c>
      <c r="M11" s="586">
        <f t="shared" si="1"/>
        <v>0</v>
      </c>
      <c r="N11" s="586">
        <f t="shared" si="1"/>
        <v>0</v>
      </c>
      <c r="O11" s="586">
        <f t="shared" si="1"/>
        <v>0</v>
      </c>
      <c r="P11" s="587">
        <f t="shared" si="1"/>
        <v>0</v>
      </c>
    </row>
    <row r="12" spans="1:16">
      <c r="A12" s="1419"/>
      <c r="B12" s="580" t="s">
        <v>283</v>
      </c>
      <c r="C12" s="588"/>
      <c r="D12" s="581">
        <f>D11/'[9]QUADRO 03 - RESUMO'!D$32*100</f>
        <v>6.9636330146028644</v>
      </c>
      <c r="E12" s="582">
        <v>5</v>
      </c>
      <c r="F12" s="582">
        <v>15</v>
      </c>
      <c r="G12" s="582">
        <v>20</v>
      </c>
      <c r="H12" s="582">
        <v>20</v>
      </c>
      <c r="I12" s="582">
        <v>10</v>
      </c>
      <c r="J12" s="582">
        <v>10</v>
      </c>
      <c r="K12" s="582">
        <v>10</v>
      </c>
      <c r="L12" s="582">
        <v>10</v>
      </c>
      <c r="M12" s="582"/>
      <c r="N12" s="582">
        <v>0</v>
      </c>
      <c r="O12" s="582">
        <v>0</v>
      </c>
      <c r="P12" s="583">
        <v>0</v>
      </c>
    </row>
    <row r="13" spans="1:16">
      <c r="A13" s="1420" t="str">
        <f>RESUMO!A13</f>
        <v>III</v>
      </c>
      <c r="B13" s="1089" t="str">
        <f>RESUMO!B13</f>
        <v>PAVIMENTAÇÃO</v>
      </c>
      <c r="C13" s="608"/>
      <c r="D13" s="609">
        <f>RESUMO!C14</f>
        <v>857130.75</v>
      </c>
      <c r="E13" s="610">
        <f>$D13*E14%</f>
        <v>0</v>
      </c>
      <c r="F13" s="610">
        <f t="shared" ref="F13:P13" si="2">$D13*F14%</f>
        <v>0</v>
      </c>
      <c r="G13" s="610">
        <f t="shared" si="2"/>
        <v>0</v>
      </c>
      <c r="H13" s="610">
        <f t="shared" si="2"/>
        <v>0</v>
      </c>
      <c r="I13" s="610">
        <f t="shared" si="2"/>
        <v>85713.075000000012</v>
      </c>
      <c r="J13" s="610">
        <f t="shared" si="2"/>
        <v>171426.15000000002</v>
      </c>
      <c r="K13" s="610">
        <f t="shared" si="2"/>
        <v>171426.15000000002</v>
      </c>
      <c r="L13" s="610">
        <f t="shared" si="2"/>
        <v>85713.075000000012</v>
      </c>
      <c r="M13" s="610">
        <f t="shared" si="2"/>
        <v>171426.15000000002</v>
      </c>
      <c r="N13" s="610">
        <f t="shared" si="2"/>
        <v>171426.15000000002</v>
      </c>
      <c r="O13" s="610">
        <f t="shared" si="2"/>
        <v>0</v>
      </c>
      <c r="P13" s="611">
        <f t="shared" si="2"/>
        <v>0</v>
      </c>
    </row>
    <row r="14" spans="1:16">
      <c r="A14" s="1417"/>
      <c r="B14" s="603" t="s">
        <v>283</v>
      </c>
      <c r="C14" s="617"/>
      <c r="D14" s="612">
        <f>D13/'[9]QUADRO 03 - RESUMO'!D$32*100</f>
        <v>10.427781143843557</v>
      </c>
      <c r="E14" s="613">
        <v>0</v>
      </c>
      <c r="F14" s="613">
        <v>0</v>
      </c>
      <c r="G14" s="613">
        <v>0</v>
      </c>
      <c r="H14" s="613">
        <v>0</v>
      </c>
      <c r="I14" s="613">
        <v>10</v>
      </c>
      <c r="J14" s="613">
        <v>20</v>
      </c>
      <c r="K14" s="613">
        <v>20</v>
      </c>
      <c r="L14" s="613">
        <v>10</v>
      </c>
      <c r="M14" s="613">
        <v>20</v>
      </c>
      <c r="N14" s="613">
        <v>20</v>
      </c>
      <c r="O14" s="613">
        <v>0</v>
      </c>
      <c r="P14" s="614">
        <v>0</v>
      </c>
    </row>
    <row r="15" spans="1:16">
      <c r="A15" s="1418" t="str">
        <f>RESUMO!A16</f>
        <v>IV</v>
      </c>
      <c r="B15" s="1090" t="str">
        <f>RESUMO!B16</f>
        <v>TRANSPORTE PARA PAVIMENTAÇÃO</v>
      </c>
      <c r="C15" s="584"/>
      <c r="D15" s="585">
        <f>RESUMO!C17</f>
        <v>187206.52000000002</v>
      </c>
      <c r="E15" s="586">
        <f>$D15*E16%</f>
        <v>0</v>
      </c>
      <c r="F15" s="586">
        <f t="shared" ref="F15:P15" si="3">$D15*F16%</f>
        <v>0</v>
      </c>
      <c r="G15" s="586">
        <f t="shared" si="3"/>
        <v>0</v>
      </c>
      <c r="H15" s="586">
        <f t="shared" si="3"/>
        <v>0</v>
      </c>
      <c r="I15" s="586">
        <f t="shared" si="3"/>
        <v>18720.652000000002</v>
      </c>
      <c r="J15" s="586">
        <f t="shared" si="3"/>
        <v>37441.304000000004</v>
      </c>
      <c r="K15" s="586">
        <f t="shared" si="3"/>
        <v>37441.304000000004</v>
      </c>
      <c r="L15" s="586">
        <f t="shared" si="3"/>
        <v>18720.652000000002</v>
      </c>
      <c r="M15" s="586">
        <f t="shared" si="3"/>
        <v>37441.304000000004</v>
      </c>
      <c r="N15" s="586">
        <f t="shared" si="3"/>
        <v>37441.304000000004</v>
      </c>
      <c r="O15" s="586">
        <f t="shared" si="3"/>
        <v>0</v>
      </c>
      <c r="P15" s="587">
        <f t="shared" si="3"/>
        <v>0</v>
      </c>
    </row>
    <row r="16" spans="1:16">
      <c r="A16" s="1419"/>
      <c r="B16" s="580" t="s">
        <v>283</v>
      </c>
      <c r="C16" s="588"/>
      <c r="D16" s="581">
        <f>D15/'[9]QUADRO 03 - RESUMO'!D$32*100</f>
        <v>2.2775388927075269</v>
      </c>
      <c r="E16" s="582">
        <v>0</v>
      </c>
      <c r="F16" s="582">
        <v>0</v>
      </c>
      <c r="G16" s="582">
        <v>0</v>
      </c>
      <c r="H16" s="582">
        <v>0</v>
      </c>
      <c r="I16" s="582">
        <v>10</v>
      </c>
      <c r="J16" s="582">
        <v>20</v>
      </c>
      <c r="K16" s="582">
        <v>20</v>
      </c>
      <c r="L16" s="582">
        <v>10</v>
      </c>
      <c r="M16" s="582">
        <v>20</v>
      </c>
      <c r="N16" s="582">
        <v>20</v>
      </c>
      <c r="O16" s="582">
        <v>0</v>
      </c>
      <c r="P16" s="583">
        <v>0</v>
      </c>
    </row>
    <row r="17" spans="1:16">
      <c r="A17" s="1420" t="str">
        <f>RESUMO!A19</f>
        <v>V</v>
      </c>
      <c r="B17" s="1089" t="str">
        <f>RESUMO!B19</f>
        <v>DRENAGEM</v>
      </c>
      <c r="C17" s="608"/>
      <c r="D17" s="615">
        <f>RESUMO!C20</f>
        <v>288133.12999999995</v>
      </c>
      <c r="E17" s="610">
        <f>$D17*E18%</f>
        <v>0</v>
      </c>
      <c r="F17" s="610">
        <f t="shared" ref="F17:P17" si="4">$D17*F18%</f>
        <v>28813.312999999995</v>
      </c>
      <c r="G17" s="610">
        <f t="shared" si="4"/>
        <v>57626.625999999989</v>
      </c>
      <c r="H17" s="610">
        <f t="shared" si="4"/>
        <v>57626.625999999989</v>
      </c>
      <c r="I17" s="610">
        <f t="shared" si="4"/>
        <v>28813.312999999995</v>
      </c>
      <c r="J17" s="610">
        <f t="shared" si="4"/>
        <v>28813.312999999995</v>
      </c>
      <c r="K17" s="610">
        <f t="shared" si="4"/>
        <v>28813.312999999995</v>
      </c>
      <c r="L17" s="610">
        <f t="shared" si="4"/>
        <v>28813.312999999995</v>
      </c>
      <c r="M17" s="610">
        <f t="shared" si="4"/>
        <v>28813.312999999995</v>
      </c>
      <c r="N17" s="610">
        <f t="shared" si="4"/>
        <v>0</v>
      </c>
      <c r="O17" s="610">
        <f t="shared" si="4"/>
        <v>0</v>
      </c>
      <c r="P17" s="611">
        <f t="shared" si="4"/>
        <v>0</v>
      </c>
    </row>
    <row r="18" spans="1:16">
      <c r="A18" s="1417"/>
      <c r="B18" s="603" t="s">
        <v>283</v>
      </c>
      <c r="C18" s="617"/>
      <c r="D18" s="612">
        <f>D17/'[9]QUADRO 03 - RESUMO'!D$32*100</f>
        <v>3.5054036037449636</v>
      </c>
      <c r="E18" s="613">
        <v>0</v>
      </c>
      <c r="F18" s="613">
        <v>10</v>
      </c>
      <c r="G18" s="613">
        <v>20</v>
      </c>
      <c r="H18" s="613">
        <v>20</v>
      </c>
      <c r="I18" s="613">
        <v>10</v>
      </c>
      <c r="J18" s="613">
        <v>10</v>
      </c>
      <c r="K18" s="613">
        <v>10</v>
      </c>
      <c r="L18" s="613">
        <v>10</v>
      </c>
      <c r="M18" s="613">
        <v>10</v>
      </c>
      <c r="N18" s="613">
        <v>0</v>
      </c>
      <c r="O18" s="613">
        <v>0</v>
      </c>
      <c r="P18" s="614">
        <v>0</v>
      </c>
    </row>
    <row r="19" spans="1:16">
      <c r="A19" s="1418" t="str">
        <f>RESUMO!A22</f>
        <v>VI</v>
      </c>
      <c r="B19" s="1090" t="str">
        <f>RESUMO!B22</f>
        <v>TRANSPORTE DE DRENAGEM</v>
      </c>
      <c r="C19" s="584"/>
      <c r="D19" s="585">
        <f>RESUMO!C23</f>
        <v>52041.03</v>
      </c>
      <c r="E19" s="586">
        <f>$D19*E20%</f>
        <v>0</v>
      </c>
      <c r="F19" s="586">
        <f t="shared" ref="F19:P19" si="5">$D19*F20%</f>
        <v>5204.1030000000001</v>
      </c>
      <c r="G19" s="586">
        <f t="shared" si="5"/>
        <v>10408.206</v>
      </c>
      <c r="H19" s="586">
        <f t="shared" si="5"/>
        <v>10408.206</v>
      </c>
      <c r="I19" s="586">
        <f t="shared" si="5"/>
        <v>5204.1030000000001</v>
      </c>
      <c r="J19" s="586">
        <f t="shared" si="5"/>
        <v>5204.1030000000001</v>
      </c>
      <c r="K19" s="586">
        <f t="shared" si="5"/>
        <v>5204.1030000000001</v>
      </c>
      <c r="L19" s="586">
        <f t="shared" si="5"/>
        <v>5204.1030000000001</v>
      </c>
      <c r="M19" s="586">
        <f t="shared" si="5"/>
        <v>0</v>
      </c>
      <c r="N19" s="586">
        <f t="shared" si="5"/>
        <v>0</v>
      </c>
      <c r="O19" s="586">
        <f t="shared" si="5"/>
        <v>5204.1030000000001</v>
      </c>
      <c r="P19" s="587">
        <f t="shared" si="5"/>
        <v>0</v>
      </c>
    </row>
    <row r="20" spans="1:16">
      <c r="A20" s="1419"/>
      <c r="B20" s="580" t="s">
        <v>283</v>
      </c>
      <c r="C20" s="588"/>
      <c r="D20" s="581">
        <f>D19/'[9]QUADRO 03 - RESUMO'!D$32*100</f>
        <v>0.63312682614664906</v>
      </c>
      <c r="E20" s="582">
        <v>0</v>
      </c>
      <c r="F20" s="582">
        <v>10</v>
      </c>
      <c r="G20" s="582">
        <v>20</v>
      </c>
      <c r="H20" s="582">
        <v>20</v>
      </c>
      <c r="I20" s="582">
        <v>10</v>
      </c>
      <c r="J20" s="582">
        <v>10</v>
      </c>
      <c r="K20" s="582">
        <v>10</v>
      </c>
      <c r="L20" s="582">
        <v>10</v>
      </c>
      <c r="M20" s="582">
        <v>0</v>
      </c>
      <c r="N20" s="582">
        <v>0</v>
      </c>
      <c r="O20" s="582">
        <v>10</v>
      </c>
      <c r="P20" s="583">
        <v>0</v>
      </c>
    </row>
    <row r="21" spans="1:16">
      <c r="A21" s="1420" t="str">
        <f>RESUMO!A25</f>
        <v>VII</v>
      </c>
      <c r="B21" s="1089" t="str">
        <f>RESUMO!B25</f>
        <v>OBRAS DE ARTE CORRENTES</v>
      </c>
      <c r="C21" s="608"/>
      <c r="D21" s="615">
        <f>RESUMO!C26</f>
        <v>193945.54000000004</v>
      </c>
      <c r="E21" s="610">
        <f>$D21*E22%</f>
        <v>0</v>
      </c>
      <c r="F21" s="610">
        <f t="shared" ref="F21:P21" si="6">$D21*F22%</f>
        <v>19394.554000000004</v>
      </c>
      <c r="G21" s="610">
        <f t="shared" si="6"/>
        <v>38789.108000000007</v>
      </c>
      <c r="H21" s="610">
        <f t="shared" si="6"/>
        <v>38789.108000000007</v>
      </c>
      <c r="I21" s="610">
        <f t="shared" si="6"/>
        <v>19394.554000000004</v>
      </c>
      <c r="J21" s="610">
        <f t="shared" si="6"/>
        <v>19394.554000000004</v>
      </c>
      <c r="K21" s="610">
        <f t="shared" si="6"/>
        <v>19394.554000000004</v>
      </c>
      <c r="L21" s="610">
        <f t="shared" si="6"/>
        <v>19394.554000000004</v>
      </c>
      <c r="M21" s="610">
        <f t="shared" si="6"/>
        <v>0</v>
      </c>
      <c r="N21" s="610">
        <f t="shared" si="6"/>
        <v>0</v>
      </c>
      <c r="O21" s="610">
        <f t="shared" si="6"/>
        <v>19394.554000000004</v>
      </c>
      <c r="P21" s="611">
        <f t="shared" si="6"/>
        <v>0</v>
      </c>
    </row>
    <row r="22" spans="1:16">
      <c r="A22" s="1417"/>
      <c r="B22" s="603" t="s">
        <v>283</v>
      </c>
      <c r="C22" s="617"/>
      <c r="D22" s="612">
        <f>D21/'[9]QUADRO 03 - RESUMO'!D$32*100</f>
        <v>2.3595252473961024</v>
      </c>
      <c r="E22" s="613">
        <v>0</v>
      </c>
      <c r="F22" s="613">
        <v>10</v>
      </c>
      <c r="G22" s="613">
        <v>20</v>
      </c>
      <c r="H22" s="613">
        <v>20</v>
      </c>
      <c r="I22" s="613">
        <v>10</v>
      </c>
      <c r="J22" s="613">
        <v>10</v>
      </c>
      <c r="K22" s="613">
        <v>10</v>
      </c>
      <c r="L22" s="613">
        <v>10</v>
      </c>
      <c r="M22" s="613">
        <v>0</v>
      </c>
      <c r="N22" s="613">
        <v>0</v>
      </c>
      <c r="O22" s="613">
        <v>10</v>
      </c>
      <c r="P22" s="614">
        <v>0</v>
      </c>
    </row>
    <row r="23" spans="1:16">
      <c r="A23" s="1091" t="str">
        <f>RESUMO!A28</f>
        <v>VIII</v>
      </c>
      <c r="B23" s="1090" t="str">
        <f>RESUMO!B28</f>
        <v>TRANSPORTE DE OBRAS DE ARTES CORRENTES</v>
      </c>
      <c r="C23" s="584"/>
      <c r="D23" s="585">
        <f>RESUMO!C29</f>
        <v>20222</v>
      </c>
      <c r="E23" s="586">
        <f>$D23*E24%</f>
        <v>0</v>
      </c>
      <c r="F23" s="586">
        <f t="shared" ref="F23:P23" si="7">$D23*F24%</f>
        <v>2022.2</v>
      </c>
      <c r="G23" s="586">
        <f t="shared" si="7"/>
        <v>4044.4</v>
      </c>
      <c r="H23" s="586">
        <f t="shared" si="7"/>
        <v>4044.4</v>
      </c>
      <c r="I23" s="586">
        <f t="shared" si="7"/>
        <v>2022.2</v>
      </c>
      <c r="J23" s="586">
        <f t="shared" si="7"/>
        <v>2022.2</v>
      </c>
      <c r="K23" s="586">
        <f t="shared" si="7"/>
        <v>2022.2</v>
      </c>
      <c r="L23" s="586">
        <f t="shared" si="7"/>
        <v>2022.2</v>
      </c>
      <c r="M23" s="586">
        <f t="shared" si="7"/>
        <v>0</v>
      </c>
      <c r="N23" s="586">
        <f t="shared" si="7"/>
        <v>0</v>
      </c>
      <c r="O23" s="586">
        <f t="shared" si="7"/>
        <v>2022.2</v>
      </c>
      <c r="P23" s="587">
        <f t="shared" si="7"/>
        <v>0</v>
      </c>
    </row>
    <row r="24" spans="1:16">
      <c r="A24" s="1091"/>
      <c r="B24" s="580" t="s">
        <v>283</v>
      </c>
      <c r="C24" s="588"/>
      <c r="D24" s="581">
        <f>D23/'[9]QUADRO 03 - RESUMO'!D$32*100</f>
        <v>0.2460191636932923</v>
      </c>
      <c r="E24" s="582">
        <v>0</v>
      </c>
      <c r="F24" s="582">
        <v>10</v>
      </c>
      <c r="G24" s="582">
        <v>20</v>
      </c>
      <c r="H24" s="582">
        <v>20</v>
      </c>
      <c r="I24" s="582">
        <v>10</v>
      </c>
      <c r="J24" s="582">
        <v>10</v>
      </c>
      <c r="K24" s="582">
        <v>10</v>
      </c>
      <c r="L24" s="582">
        <v>10</v>
      </c>
      <c r="M24" s="582">
        <v>0</v>
      </c>
      <c r="N24" s="582">
        <v>0</v>
      </c>
      <c r="O24" s="582">
        <v>10</v>
      </c>
      <c r="P24" s="583">
        <v>0</v>
      </c>
    </row>
    <row r="25" spans="1:16">
      <c r="A25" s="1420" t="str">
        <f>RESUMO!A31</f>
        <v>IX</v>
      </c>
      <c r="B25" s="1089" t="str">
        <f>RESUMO!B31</f>
        <v>SINALIZAÇÃO</v>
      </c>
      <c r="C25" s="608"/>
      <c r="D25" s="615">
        <f>RESUMO!C32</f>
        <v>103688.97</v>
      </c>
      <c r="E25" s="610">
        <f>$D25*E26%</f>
        <v>0</v>
      </c>
      <c r="F25" s="610">
        <f t="shared" ref="F25:P25" si="8">$D25*F26%</f>
        <v>0</v>
      </c>
      <c r="G25" s="610">
        <f t="shared" si="8"/>
        <v>0</v>
      </c>
      <c r="H25" s="610">
        <f t="shared" si="8"/>
        <v>0</v>
      </c>
      <c r="I25" s="610">
        <f t="shared" si="8"/>
        <v>0</v>
      </c>
      <c r="J25" s="610">
        <f t="shared" si="8"/>
        <v>0</v>
      </c>
      <c r="K25" s="610">
        <f t="shared" si="8"/>
        <v>0</v>
      </c>
      <c r="L25" s="610">
        <f t="shared" si="8"/>
        <v>0</v>
      </c>
      <c r="M25" s="610">
        <f t="shared" si="8"/>
        <v>20737.794000000002</v>
      </c>
      <c r="N25" s="610">
        <f t="shared" si="8"/>
        <v>20737.794000000002</v>
      </c>
      <c r="O25" s="610">
        <f t="shared" si="8"/>
        <v>41475.588000000003</v>
      </c>
      <c r="P25" s="611">
        <f t="shared" si="8"/>
        <v>20737.794000000002</v>
      </c>
    </row>
    <row r="26" spans="1:16">
      <c r="A26" s="1417"/>
      <c r="B26" s="603" t="s">
        <v>283</v>
      </c>
      <c r="C26" s="617"/>
      <c r="D26" s="612">
        <f>D25/'[9]QUADRO 03 - RESUMO'!D$32*100</f>
        <v>1.2614713521718364</v>
      </c>
      <c r="E26" s="613">
        <v>0</v>
      </c>
      <c r="F26" s="613">
        <v>0</v>
      </c>
      <c r="G26" s="613">
        <v>0</v>
      </c>
      <c r="H26" s="613">
        <v>0</v>
      </c>
      <c r="I26" s="613">
        <v>0</v>
      </c>
      <c r="J26" s="613">
        <v>0</v>
      </c>
      <c r="K26" s="613">
        <v>0</v>
      </c>
      <c r="L26" s="613">
        <v>0</v>
      </c>
      <c r="M26" s="613">
        <v>20</v>
      </c>
      <c r="N26" s="613">
        <v>20</v>
      </c>
      <c r="O26" s="613">
        <v>40</v>
      </c>
      <c r="P26" s="614">
        <v>20</v>
      </c>
    </row>
    <row r="27" spans="1:16">
      <c r="A27" s="1418" t="str">
        <f>RESUMO!A34</f>
        <v>X</v>
      </c>
      <c r="B27" s="1090" t="str">
        <f>RESUMO!B34</f>
        <v>OBRAS COMPLEMENTARES</v>
      </c>
      <c r="C27" s="584"/>
      <c r="D27" s="589">
        <f>RESUMO!C35</f>
        <v>158603.71</v>
      </c>
      <c r="E27" s="586">
        <f>$D27*E28%</f>
        <v>0</v>
      </c>
      <c r="F27" s="586">
        <f t="shared" ref="F27:P29" si="9">$D27*F28%</f>
        <v>0</v>
      </c>
      <c r="G27" s="586">
        <f t="shared" si="9"/>
        <v>0</v>
      </c>
      <c r="H27" s="586">
        <f t="shared" si="9"/>
        <v>0</v>
      </c>
      <c r="I27" s="586">
        <f t="shared" si="9"/>
        <v>0</v>
      </c>
      <c r="J27" s="586">
        <f t="shared" si="9"/>
        <v>0</v>
      </c>
      <c r="K27" s="586">
        <f t="shared" si="9"/>
        <v>0</v>
      </c>
      <c r="L27" s="586">
        <f t="shared" si="9"/>
        <v>0</v>
      </c>
      <c r="M27" s="586">
        <f t="shared" si="9"/>
        <v>31720.741999999998</v>
      </c>
      <c r="N27" s="586">
        <f t="shared" si="9"/>
        <v>31720.741999999998</v>
      </c>
      <c r="O27" s="586">
        <f t="shared" si="9"/>
        <v>63441.483999999997</v>
      </c>
      <c r="P27" s="587">
        <f t="shared" si="9"/>
        <v>31720.741999999998</v>
      </c>
    </row>
    <row r="28" spans="1:16">
      <c r="A28" s="1419"/>
      <c r="B28" s="580" t="s">
        <v>283</v>
      </c>
      <c r="C28" s="588"/>
      <c r="D28" s="581">
        <f>D27/'[9]QUADRO 03 - RESUMO'!D$32*100</f>
        <v>1.9295594942564269</v>
      </c>
      <c r="E28" s="582">
        <v>0</v>
      </c>
      <c r="F28" s="582">
        <v>0</v>
      </c>
      <c r="G28" s="582">
        <v>0</v>
      </c>
      <c r="H28" s="582">
        <v>0</v>
      </c>
      <c r="I28" s="582">
        <v>0</v>
      </c>
      <c r="J28" s="582">
        <v>0</v>
      </c>
      <c r="K28" s="582">
        <v>0</v>
      </c>
      <c r="L28" s="582">
        <v>0</v>
      </c>
      <c r="M28" s="582">
        <v>20</v>
      </c>
      <c r="N28" s="582">
        <v>20</v>
      </c>
      <c r="O28" s="582">
        <v>40</v>
      </c>
      <c r="P28" s="583">
        <v>20</v>
      </c>
    </row>
    <row r="29" spans="1:16">
      <c r="A29" s="1420" t="str">
        <f>RESUMO!A37</f>
        <v>XI</v>
      </c>
      <c r="B29" s="1089" t="str">
        <f>RESUMO!B37</f>
        <v>RECUPERAÇÃO AMBIENTAL</v>
      </c>
      <c r="C29" s="608"/>
      <c r="D29" s="616">
        <f>RESUMO!C38</f>
        <v>166335.47</v>
      </c>
      <c r="E29" s="610">
        <f>$D29*E30%</f>
        <v>0</v>
      </c>
      <c r="F29" s="610">
        <f t="shared" si="9"/>
        <v>0</v>
      </c>
      <c r="G29" s="610">
        <f t="shared" si="9"/>
        <v>0</v>
      </c>
      <c r="H29" s="610">
        <f t="shared" si="9"/>
        <v>0</v>
      </c>
      <c r="I29" s="610">
        <f t="shared" si="9"/>
        <v>0</v>
      </c>
      <c r="J29" s="610">
        <f t="shared" si="9"/>
        <v>0</v>
      </c>
      <c r="K29" s="610">
        <f t="shared" si="9"/>
        <v>0</v>
      </c>
      <c r="L29" s="610">
        <f t="shared" si="9"/>
        <v>0</v>
      </c>
      <c r="M29" s="610">
        <f t="shared" si="9"/>
        <v>0</v>
      </c>
      <c r="N29" s="610">
        <f t="shared" si="9"/>
        <v>49900.640999999996</v>
      </c>
      <c r="O29" s="610">
        <f t="shared" si="9"/>
        <v>49900.640999999996</v>
      </c>
      <c r="P29" s="611">
        <f t="shared" si="9"/>
        <v>66534.188000000009</v>
      </c>
    </row>
    <row r="30" spans="1:16">
      <c r="A30" s="1417"/>
      <c r="B30" s="603" t="s">
        <v>283</v>
      </c>
      <c r="C30" s="617"/>
      <c r="D30" s="605">
        <f>D29/'[9]QUADRO 03 - RESUMO'!D$32*100</f>
        <v>2.0236234409025178</v>
      </c>
      <c r="E30" s="606">
        <v>0</v>
      </c>
      <c r="F30" s="606">
        <v>0</v>
      </c>
      <c r="G30" s="606">
        <v>0</v>
      </c>
      <c r="H30" s="606">
        <v>0</v>
      </c>
      <c r="I30" s="606">
        <v>0</v>
      </c>
      <c r="J30" s="606">
        <v>0</v>
      </c>
      <c r="K30" s="606">
        <v>0</v>
      </c>
      <c r="L30" s="606">
        <v>0</v>
      </c>
      <c r="M30" s="606">
        <v>0</v>
      </c>
      <c r="N30" s="606">
        <v>30</v>
      </c>
      <c r="O30" s="606">
        <v>30</v>
      </c>
      <c r="P30" s="607">
        <v>40</v>
      </c>
    </row>
    <row r="31" spans="1:16">
      <c r="A31" s="1410" t="s">
        <v>742</v>
      </c>
      <c r="B31" s="1411"/>
      <c r="C31" s="1411"/>
      <c r="D31" s="590">
        <f>SUM(D9+D11+D13+D15+D17+D19+D21+D23+D25+D27+D29)</f>
        <v>3578925.48</v>
      </c>
      <c r="E31" s="591">
        <f>SUM(E9+E11+E13+E15+E17+E19+E21+E23+E25+E27+E29)</f>
        <v>224465.36850000001</v>
      </c>
      <c r="F31" s="591">
        <f t="shared" ref="F31:P31" si="10">SUM(F9+F11+F13+F15+F17+F19+F21+F23+F25+F27+F29)</f>
        <v>200046.2537</v>
      </c>
      <c r="G31" s="591">
        <f t="shared" si="10"/>
        <v>284099.85820000002</v>
      </c>
      <c r="H31" s="591">
        <f t="shared" si="10"/>
        <v>284099.85820000002</v>
      </c>
      <c r="I31" s="591">
        <f t="shared" si="10"/>
        <v>275860.54620000004</v>
      </c>
      <c r="J31" s="591">
        <f t="shared" si="10"/>
        <v>380294.2732</v>
      </c>
      <c r="K31" s="591">
        <f t="shared" si="10"/>
        <v>380294.2732</v>
      </c>
      <c r="L31" s="591">
        <f t="shared" si="10"/>
        <v>275860.54620000004</v>
      </c>
      <c r="M31" s="591">
        <f t="shared" si="10"/>
        <v>348893.08319999999</v>
      </c>
      <c r="N31" s="591">
        <f t="shared" si="10"/>
        <v>369980.41120000003</v>
      </c>
      <c r="O31" s="591">
        <f t="shared" si="10"/>
        <v>240192.35019999999</v>
      </c>
      <c r="P31" s="1092">
        <f t="shared" si="10"/>
        <v>314838.658</v>
      </c>
    </row>
    <row r="32" spans="1:16">
      <c r="A32" s="592" t="s">
        <v>743</v>
      </c>
      <c r="B32" s="593"/>
      <c r="C32" s="593"/>
      <c r="D32" s="594">
        <f>SUM(D10+D12+D14+D16+D18+D20+D22+D24+D26+D28+D30)</f>
        <v>43.540908590159958</v>
      </c>
      <c r="E32" s="595">
        <v>2.08</v>
      </c>
      <c r="F32" s="595">
        <v>7.45</v>
      </c>
      <c r="G32" s="595">
        <v>12.37</v>
      </c>
      <c r="H32" s="595">
        <v>12.37</v>
      </c>
      <c r="I32" s="595">
        <v>9.2799999999999994</v>
      </c>
      <c r="J32" s="595">
        <v>12.37</v>
      </c>
      <c r="K32" s="595">
        <v>12.37</v>
      </c>
      <c r="L32" s="595">
        <v>9.2799999999999994</v>
      </c>
      <c r="M32" s="595">
        <v>7.87</v>
      </c>
      <c r="N32" s="595">
        <v>7.48</v>
      </c>
      <c r="O32" s="595">
        <v>4.82</v>
      </c>
      <c r="P32" s="1093">
        <v>2.2599999999999998</v>
      </c>
    </row>
    <row r="33" spans="1:16">
      <c r="A33" s="1423" t="s">
        <v>744</v>
      </c>
      <c r="B33" s="1424"/>
      <c r="C33" s="1424"/>
      <c r="D33" s="618">
        <f>D31</f>
        <v>3578925.48</v>
      </c>
      <c r="E33" s="619">
        <f>E31</f>
        <v>224465.36850000001</v>
      </c>
      <c r="F33" s="620">
        <f t="shared" ref="F33:P34" si="11">E33+F31</f>
        <v>424511.62219999998</v>
      </c>
      <c r="G33" s="620">
        <f t="shared" si="11"/>
        <v>708611.4804</v>
      </c>
      <c r="H33" s="620">
        <f t="shared" si="11"/>
        <v>992711.33860000002</v>
      </c>
      <c r="I33" s="620">
        <f t="shared" si="11"/>
        <v>1268571.8848000001</v>
      </c>
      <c r="J33" s="620">
        <f t="shared" si="11"/>
        <v>1648866.1580000001</v>
      </c>
      <c r="K33" s="620">
        <f t="shared" si="11"/>
        <v>2029160.4312</v>
      </c>
      <c r="L33" s="620">
        <f t="shared" si="11"/>
        <v>2305020.9774000002</v>
      </c>
      <c r="M33" s="620">
        <f t="shared" si="11"/>
        <v>2653914.0606000004</v>
      </c>
      <c r="N33" s="620">
        <f t="shared" si="11"/>
        <v>3023894.4718000004</v>
      </c>
      <c r="O33" s="620">
        <f t="shared" si="11"/>
        <v>3264086.8220000006</v>
      </c>
      <c r="P33" s="621">
        <f t="shared" si="11"/>
        <v>3578925.4800000004</v>
      </c>
    </row>
    <row r="34" spans="1:16" ht="13.5" thickBot="1">
      <c r="A34" s="1425" t="s">
        <v>745</v>
      </c>
      <c r="B34" s="1426"/>
      <c r="C34" s="1426"/>
      <c r="D34" s="596">
        <f>D32</f>
        <v>43.540908590159958</v>
      </c>
      <c r="E34" s="597">
        <f>E32</f>
        <v>2.08</v>
      </c>
      <c r="F34" s="597">
        <f>E34+F32</f>
        <v>9.5300000000000011</v>
      </c>
      <c r="G34" s="597">
        <f t="shared" si="11"/>
        <v>21.9</v>
      </c>
      <c r="H34" s="597">
        <f t="shared" si="11"/>
        <v>34.269999999999996</v>
      </c>
      <c r="I34" s="597">
        <f t="shared" si="11"/>
        <v>43.55</v>
      </c>
      <c r="J34" s="597">
        <f t="shared" si="11"/>
        <v>55.919999999999995</v>
      </c>
      <c r="K34" s="597">
        <f t="shared" si="11"/>
        <v>68.289999999999992</v>
      </c>
      <c r="L34" s="597">
        <f t="shared" si="11"/>
        <v>77.569999999999993</v>
      </c>
      <c r="M34" s="597">
        <f t="shared" si="11"/>
        <v>85.44</v>
      </c>
      <c r="N34" s="597">
        <f t="shared" si="11"/>
        <v>92.92</v>
      </c>
      <c r="O34" s="597">
        <f t="shared" si="11"/>
        <v>97.740000000000009</v>
      </c>
      <c r="P34" s="598">
        <f t="shared" si="11"/>
        <v>100.00000000000001</v>
      </c>
    </row>
  </sheetData>
  <mergeCells count="20">
    <mergeCell ref="A29:A30"/>
    <mergeCell ref="A4:B4"/>
    <mergeCell ref="A33:C33"/>
    <mergeCell ref="A34:C34"/>
    <mergeCell ref="A1:P1"/>
    <mergeCell ref="A5:A8"/>
    <mergeCell ref="B5:C8"/>
    <mergeCell ref="D5:P5"/>
    <mergeCell ref="A31:C31"/>
    <mergeCell ref="A2:B2"/>
    <mergeCell ref="A3:B3"/>
    <mergeCell ref="A9:A10"/>
    <mergeCell ref="A11:A12"/>
    <mergeCell ref="A13:A14"/>
    <mergeCell ref="A15:A16"/>
    <mergeCell ref="A17:A18"/>
    <mergeCell ref="A19:A20"/>
    <mergeCell ref="A21:A22"/>
    <mergeCell ref="A25:A26"/>
    <mergeCell ref="A27:A2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16" workbookViewId="0">
      <selection activeCell="A24" sqref="A24:D25"/>
    </sheetView>
  </sheetViews>
  <sheetFormatPr defaultRowHeight="12.75"/>
  <cols>
    <col min="1" max="1" width="8" customWidth="1"/>
    <col min="2" max="2" width="37.42578125" customWidth="1"/>
    <col min="3" max="4" width="8" customWidth="1"/>
    <col min="5" max="5" width="15.7109375" customWidth="1"/>
    <col min="6" max="6" width="8" customWidth="1"/>
    <col min="7" max="8" width="15.5703125" customWidth="1"/>
    <col min="9" max="9" width="19.85546875" customWidth="1"/>
    <col min="10" max="10" width="37.42578125" customWidth="1"/>
    <col min="11" max="12" width="8" customWidth="1"/>
    <col min="13" max="13" width="15.7109375" customWidth="1"/>
    <col min="14" max="14" width="8" customWidth="1"/>
    <col min="15" max="16" width="15.5703125" customWidth="1"/>
    <col min="17" max="17" width="19.85546875" customWidth="1"/>
  </cols>
  <sheetData>
    <row r="1" spans="1:9" ht="18" customHeight="1">
      <c r="A1" s="1094" t="s">
        <v>87</v>
      </c>
      <c r="B1" s="1095" t="s">
        <v>1064</v>
      </c>
      <c r="C1" s="763"/>
      <c r="D1" s="763"/>
      <c r="E1" s="763"/>
      <c r="F1" s="763"/>
      <c r="G1" s="507"/>
      <c r="H1" s="507"/>
      <c r="I1" s="508"/>
    </row>
    <row r="2" spans="1:9" ht="18" customHeight="1">
      <c r="A2" s="1094" t="s">
        <v>1065</v>
      </c>
      <c r="C2" s="765"/>
      <c r="D2" s="765"/>
      <c r="E2" s="765"/>
      <c r="F2" s="765"/>
      <c r="G2" s="506"/>
      <c r="H2" s="506"/>
      <c r="I2" s="509"/>
    </row>
    <row r="3" spans="1:9" ht="18" customHeight="1" thickBot="1">
      <c r="A3" s="1058" t="str">
        <f>'[9]QUADRO 03 - RESUMO'!A40</f>
        <v>MUNICÍPIO: Várzea Grande-MT</v>
      </c>
      <c r="B3" s="1059"/>
      <c r="C3" s="1059"/>
      <c r="D3" s="1059"/>
      <c r="E3" s="1059"/>
      <c r="F3" s="1059"/>
      <c r="G3" s="724"/>
      <c r="H3" s="724"/>
      <c r="I3" s="745"/>
    </row>
    <row r="4" spans="1:9" ht="18" customHeight="1" thickBot="1">
      <c r="A4" s="764" t="s">
        <v>1013</v>
      </c>
      <c r="B4" s="765"/>
      <c r="C4" s="765"/>
      <c r="D4" s="765"/>
      <c r="E4" s="765"/>
      <c r="F4" s="765"/>
      <c r="G4" s="506"/>
      <c r="H4" s="506"/>
      <c r="I4" s="509"/>
    </row>
    <row r="5" spans="1:9" ht="12.75" customHeight="1">
      <c r="A5" s="1450" t="s">
        <v>997</v>
      </c>
      <c r="B5" s="1451"/>
      <c r="C5" s="1451"/>
      <c r="D5" s="1451"/>
      <c r="E5" s="1451"/>
      <c r="F5" s="1451"/>
      <c r="G5" s="1451"/>
      <c r="H5" s="1451"/>
      <c r="I5" s="1452"/>
    </row>
    <row r="6" spans="1:9" ht="13.5" customHeight="1" thickBot="1">
      <c r="A6" s="1453"/>
      <c r="B6" s="1454"/>
      <c r="C6" s="1454"/>
      <c r="D6" s="1454"/>
      <c r="E6" s="1454"/>
      <c r="F6" s="1454"/>
      <c r="G6" s="1454"/>
      <c r="H6" s="1454"/>
      <c r="I6" s="1455"/>
    </row>
    <row r="7" spans="1:9" ht="15">
      <c r="A7" s="1456" t="s">
        <v>0</v>
      </c>
      <c r="B7" s="1458" t="s">
        <v>2</v>
      </c>
      <c r="C7" s="1459"/>
      <c r="D7" s="1460"/>
      <c r="E7" s="1007" t="s">
        <v>998</v>
      </c>
      <c r="F7" s="1007" t="s">
        <v>918</v>
      </c>
      <c r="G7" s="1007" t="s">
        <v>999</v>
      </c>
      <c r="H7" s="1007" t="s">
        <v>1000</v>
      </c>
      <c r="I7" s="1008" t="s">
        <v>1001</v>
      </c>
    </row>
    <row r="8" spans="1:9" ht="15.75" thickBot="1">
      <c r="A8" s="1457"/>
      <c r="B8" s="1461"/>
      <c r="C8" s="1462"/>
      <c r="D8" s="1463"/>
      <c r="E8" s="1009" t="s">
        <v>1002</v>
      </c>
      <c r="F8" s="1009" t="s">
        <v>490</v>
      </c>
      <c r="G8" s="1009" t="s">
        <v>490</v>
      </c>
      <c r="H8" s="1009" t="s">
        <v>490</v>
      </c>
      <c r="I8" s="1010" t="s">
        <v>490</v>
      </c>
    </row>
    <row r="9" spans="1:9" ht="15">
      <c r="A9" s="1011" t="s">
        <v>5</v>
      </c>
      <c r="B9" s="1464" t="s">
        <v>1003</v>
      </c>
      <c r="C9" s="1465"/>
      <c r="D9" s="1466"/>
      <c r="E9" s="1012">
        <f>E10+E12+E13</f>
        <v>5.8199999999999994</v>
      </c>
      <c r="F9" s="1012"/>
      <c r="G9" s="1013"/>
      <c r="H9" s="1014"/>
      <c r="I9" s="1015"/>
    </row>
    <row r="10" spans="1:9" ht="15">
      <c r="A10" s="1016" t="s">
        <v>6</v>
      </c>
      <c r="B10" s="1436" t="s">
        <v>765</v>
      </c>
      <c r="C10" s="1437"/>
      <c r="D10" s="1438"/>
      <c r="E10" s="1017">
        <v>4.0999999999999996</v>
      </c>
      <c r="F10" s="1017"/>
      <c r="G10" s="1017"/>
      <c r="H10" s="1018"/>
      <c r="I10" s="1019"/>
    </row>
    <row r="11" spans="1:9" ht="15">
      <c r="A11" s="1016" t="s">
        <v>18</v>
      </c>
      <c r="B11" s="1020" t="s">
        <v>1004</v>
      </c>
      <c r="C11" s="1021"/>
      <c r="D11" s="1022"/>
      <c r="E11" s="1017">
        <v>0.5</v>
      </c>
      <c r="F11" s="1017"/>
      <c r="G11" s="1017"/>
      <c r="H11" s="1018"/>
      <c r="I11" s="1019"/>
    </row>
    <row r="12" spans="1:9" ht="15">
      <c r="A12" s="1016" t="s">
        <v>33</v>
      </c>
      <c r="B12" s="1436" t="s">
        <v>766</v>
      </c>
      <c r="C12" s="1437"/>
      <c r="D12" s="1438"/>
      <c r="E12" s="1017">
        <v>0.6</v>
      </c>
      <c r="F12" s="1017"/>
      <c r="G12" s="1017"/>
      <c r="H12" s="1018"/>
      <c r="I12" s="1019"/>
    </row>
    <row r="13" spans="1:9" ht="15">
      <c r="A13" s="1016" t="s">
        <v>34</v>
      </c>
      <c r="B13" s="1436" t="s">
        <v>1005</v>
      </c>
      <c r="C13" s="1437"/>
      <c r="D13" s="1438"/>
      <c r="E13" s="1017">
        <v>1.1200000000000001</v>
      </c>
      <c r="F13" s="1017"/>
      <c r="G13" s="1017"/>
      <c r="H13" s="1018"/>
      <c r="I13" s="1019"/>
    </row>
    <row r="14" spans="1:9" ht="15">
      <c r="A14" s="1023"/>
      <c r="B14" s="1467"/>
      <c r="C14" s="1468"/>
      <c r="D14" s="1469"/>
      <c r="E14" s="1024"/>
      <c r="F14" s="1025"/>
      <c r="G14" s="1024"/>
      <c r="H14" s="1026"/>
      <c r="I14" s="1027"/>
    </row>
    <row r="15" spans="1:9" ht="15">
      <c r="A15" s="1028" t="s">
        <v>7</v>
      </c>
      <c r="B15" s="1439" t="s">
        <v>767</v>
      </c>
      <c r="C15" s="1440"/>
      <c r="D15" s="1441"/>
      <c r="E15" s="1029">
        <f>E16</f>
        <v>8.1999999999999993</v>
      </c>
      <c r="F15" s="1029"/>
      <c r="G15" s="1017"/>
      <c r="H15" s="1018"/>
      <c r="I15" s="1019"/>
    </row>
    <row r="16" spans="1:9" ht="15">
      <c r="A16" s="1016" t="s">
        <v>9</v>
      </c>
      <c r="B16" s="1436" t="s">
        <v>768</v>
      </c>
      <c r="C16" s="1437"/>
      <c r="D16" s="1438"/>
      <c r="E16" s="1017">
        <v>8.1999999999999993</v>
      </c>
      <c r="F16" s="1017"/>
      <c r="G16" s="1017"/>
      <c r="H16" s="1018"/>
      <c r="I16" s="1019"/>
    </row>
    <row r="17" spans="1:9" ht="15">
      <c r="A17" s="1030"/>
      <c r="B17" s="1470"/>
      <c r="C17" s="1471"/>
      <c r="D17" s="1472"/>
      <c r="E17" s="1031"/>
      <c r="F17" s="1032"/>
      <c r="G17" s="1031"/>
      <c r="H17" s="1033"/>
      <c r="I17" s="1034"/>
    </row>
    <row r="18" spans="1:9" ht="15">
      <c r="A18" s="1028" t="s">
        <v>11</v>
      </c>
      <c r="B18" s="1439" t="s">
        <v>1006</v>
      </c>
      <c r="C18" s="1440"/>
      <c r="D18" s="1441"/>
      <c r="E18" s="1029">
        <f>E19+E20+E22+E21</f>
        <v>10.15</v>
      </c>
      <c r="F18" s="1029"/>
      <c r="G18" s="1017"/>
      <c r="H18" s="1035"/>
      <c r="I18" s="1019"/>
    </row>
    <row r="19" spans="1:9" ht="15">
      <c r="A19" s="1016" t="s">
        <v>12</v>
      </c>
      <c r="B19" s="1436" t="s">
        <v>769</v>
      </c>
      <c r="C19" s="1437"/>
      <c r="D19" s="1438"/>
      <c r="E19" s="1036">
        <v>0.65</v>
      </c>
      <c r="F19" s="1017"/>
      <c r="G19" s="1017"/>
      <c r="H19" s="1035"/>
      <c r="I19" s="1019"/>
    </row>
    <row r="20" spans="1:9" ht="15">
      <c r="A20" s="1016" t="s">
        <v>13</v>
      </c>
      <c r="B20" s="1436" t="s">
        <v>1007</v>
      </c>
      <c r="C20" s="1437"/>
      <c r="D20" s="1438"/>
      <c r="E20" s="1017">
        <v>3</v>
      </c>
      <c r="F20" s="1017"/>
      <c r="G20" s="1017"/>
      <c r="H20" s="1035"/>
      <c r="I20" s="1019"/>
    </row>
    <row r="21" spans="1:9" ht="15">
      <c r="A21" s="1016" t="s">
        <v>22</v>
      </c>
      <c r="B21" s="1436" t="s">
        <v>1008</v>
      </c>
      <c r="C21" s="1437"/>
      <c r="D21" s="1438"/>
      <c r="E21" s="1017">
        <v>2</v>
      </c>
      <c r="F21" s="1017"/>
      <c r="G21" s="1017"/>
      <c r="H21" s="1035"/>
      <c r="I21" s="1019"/>
    </row>
    <row r="22" spans="1:9" ht="15">
      <c r="A22" s="1016" t="s">
        <v>23</v>
      </c>
      <c r="B22" s="1436" t="s">
        <v>1009</v>
      </c>
      <c r="C22" s="1437"/>
      <c r="D22" s="1438"/>
      <c r="E22" s="1017">
        <v>4.5</v>
      </c>
      <c r="F22" s="1017"/>
      <c r="G22" s="1017"/>
      <c r="H22" s="1018"/>
      <c r="I22" s="1019"/>
    </row>
    <row r="23" spans="1:9">
      <c r="A23" s="1016"/>
      <c r="B23" s="1439" t="s">
        <v>1010</v>
      </c>
      <c r="C23" s="1440"/>
      <c r="D23" s="1441"/>
      <c r="E23" s="1037"/>
      <c r="F23" s="1037"/>
      <c r="G23" s="1038"/>
      <c r="H23" s="1039"/>
      <c r="I23" s="1040"/>
    </row>
    <row r="24" spans="1:9" ht="12.75" customHeight="1">
      <c r="A24" s="1442" t="s">
        <v>1011</v>
      </c>
      <c r="B24" s="1443"/>
      <c r="C24" s="1443"/>
      <c r="D24" s="1444"/>
      <c r="E24" s="1448">
        <f>(((1+((E10+E11+E12)/100))*(1+((E13)/100))*(1+((E15/100)))/(1-((E19+E20+E21+E22)/100)))-1)</f>
        <v>0.28103790406232654</v>
      </c>
      <c r="F24" s="1430"/>
      <c r="G24" s="1430"/>
      <c r="H24" s="1430"/>
      <c r="I24" s="1432">
        <f>'[10]ORÇA '!G61</f>
        <v>0</v>
      </c>
    </row>
    <row r="25" spans="1:9" ht="13.5" thickBot="1">
      <c r="A25" s="1445"/>
      <c r="B25" s="1446"/>
      <c r="C25" s="1446"/>
      <c r="D25" s="1447"/>
      <c r="E25" s="1449"/>
      <c r="F25" s="1431"/>
      <c r="G25" s="1431"/>
      <c r="H25" s="1431"/>
      <c r="I25" s="1433"/>
    </row>
    <row r="26" spans="1:9">
      <c r="A26" s="1041"/>
      <c r="B26" s="1042"/>
      <c r="C26" s="1043"/>
      <c r="D26" s="1043"/>
      <c r="E26" s="1042"/>
      <c r="F26" s="1043"/>
      <c r="G26" s="1042"/>
      <c r="H26" s="1042"/>
      <c r="I26" s="1044"/>
    </row>
    <row r="27" spans="1:9">
      <c r="A27" s="1045" t="s">
        <v>1012</v>
      </c>
      <c r="B27" s="1046"/>
      <c r="C27" s="1047"/>
      <c r="D27" s="1047"/>
      <c r="E27" s="1046"/>
      <c r="F27" s="1047"/>
      <c r="G27" s="1046"/>
      <c r="H27" s="1046"/>
      <c r="I27" s="1048"/>
    </row>
    <row r="28" spans="1:9" ht="12.75" customHeight="1">
      <c r="A28" s="1049"/>
      <c r="B28" s="1429"/>
      <c r="C28" s="1429"/>
      <c r="D28" s="1429"/>
      <c r="E28" s="1429"/>
      <c r="F28" s="1047"/>
      <c r="G28" s="1050"/>
      <c r="H28" s="1046"/>
      <c r="I28" s="1048"/>
    </row>
    <row r="29" spans="1:9">
      <c r="A29" s="1049"/>
      <c r="B29" s="1429"/>
      <c r="C29" s="1429"/>
      <c r="D29" s="1429"/>
      <c r="E29" s="1429"/>
      <c r="F29" s="1047"/>
      <c r="G29" s="1046"/>
      <c r="H29" s="1046"/>
      <c r="I29" s="1048"/>
    </row>
    <row r="30" spans="1:9" ht="15.75">
      <c r="A30" s="1049"/>
      <c r="B30" s="1429"/>
      <c r="C30" s="1429"/>
      <c r="D30" s="1429"/>
      <c r="E30" s="1429"/>
      <c r="F30" s="1047"/>
      <c r="G30" s="1434"/>
      <c r="H30" s="1435"/>
      <c r="I30" s="1051"/>
    </row>
    <row r="31" spans="1:9" ht="15.75">
      <c r="A31" s="1049"/>
      <c r="B31" s="1428"/>
      <c r="C31" s="1428"/>
      <c r="D31" s="1428"/>
      <c r="E31" s="1428"/>
      <c r="F31" s="1052"/>
      <c r="G31" s="1434"/>
      <c r="H31" s="1435"/>
      <c r="I31" s="1051"/>
    </row>
    <row r="32" spans="1:9" ht="15.75">
      <c r="A32" s="1049"/>
      <c r="B32" s="1428"/>
      <c r="C32" s="1428"/>
      <c r="D32" s="1428"/>
      <c r="E32" s="1428"/>
      <c r="F32" s="1047"/>
      <c r="G32" s="1087"/>
      <c r="H32" s="1088"/>
      <c r="I32" s="1051"/>
    </row>
    <row r="33" spans="1:9" ht="16.5" thickBot="1">
      <c r="A33" s="1053"/>
      <c r="B33" s="1427"/>
      <c r="C33" s="1427"/>
      <c r="D33" s="1427"/>
      <c r="E33" s="1427"/>
      <c r="F33" s="1054"/>
      <c r="G33" s="1055"/>
      <c r="H33" s="1056"/>
      <c r="I33" s="1057"/>
    </row>
  </sheetData>
  <mergeCells count="28">
    <mergeCell ref="B17:D17"/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A5:I6"/>
    <mergeCell ref="A7:A8"/>
    <mergeCell ref="B7:D8"/>
    <mergeCell ref="B9:D9"/>
    <mergeCell ref="B10:D10"/>
    <mergeCell ref="I24:I25"/>
    <mergeCell ref="G30:G31"/>
    <mergeCell ref="H30:H31"/>
    <mergeCell ref="B22:D22"/>
    <mergeCell ref="B23:D23"/>
    <mergeCell ref="A24:D25"/>
    <mergeCell ref="E24:E25"/>
    <mergeCell ref="F24:F25"/>
    <mergeCell ref="B33:E33"/>
    <mergeCell ref="B31:E32"/>
    <mergeCell ref="B28:E30"/>
    <mergeCell ref="G24:G25"/>
    <mergeCell ref="H24:H2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25"/>
  <sheetViews>
    <sheetView topLeftCell="A10" workbookViewId="0">
      <selection activeCell="O28" sqref="O28"/>
    </sheetView>
  </sheetViews>
  <sheetFormatPr defaultRowHeight="12.75"/>
  <cols>
    <col min="1" max="1" width="16.28515625" customWidth="1"/>
    <col min="2" max="2" width="3.7109375" customWidth="1"/>
    <col min="3" max="3" width="2.7109375" customWidth="1"/>
    <col min="4" max="4" width="5.140625" customWidth="1"/>
    <col min="5" max="5" width="4.7109375" customWidth="1"/>
    <col min="6" max="6" width="2.7109375" customWidth="1"/>
    <col min="7" max="7" width="5.42578125" customWidth="1"/>
    <col min="8" max="8" width="10.5703125" customWidth="1"/>
    <col min="9" max="9" width="7.7109375" customWidth="1"/>
    <col min="10" max="10" width="11.140625" customWidth="1"/>
    <col min="11" max="11" width="8" bestFit="1" customWidth="1"/>
    <col min="12" max="12" width="8.42578125" customWidth="1"/>
    <col min="13" max="13" width="8.140625" bestFit="1" customWidth="1"/>
    <col min="14" max="14" width="10.28515625" customWidth="1"/>
    <col min="15" max="15" width="8.85546875" customWidth="1"/>
    <col min="16" max="16" width="9.28515625" customWidth="1"/>
    <col min="17" max="17" width="9.5703125" customWidth="1"/>
    <col min="18" max="19" width="8.85546875" customWidth="1"/>
    <col min="20" max="20" width="9.85546875" hidden="1" customWidth="1"/>
    <col min="21" max="21" width="10.7109375" hidden="1" customWidth="1"/>
    <col min="22" max="22" width="11.28515625" customWidth="1"/>
    <col min="23" max="24" width="10" customWidth="1"/>
    <col min="25" max="26" width="11" bestFit="1" customWidth="1"/>
    <col min="27" max="28" width="11.7109375" customWidth="1"/>
  </cols>
  <sheetData>
    <row r="1" spans="1:28">
      <c r="A1" s="523" t="s">
        <v>830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8"/>
    </row>
    <row r="2" spans="1:28">
      <c r="A2" s="929" t="s">
        <v>896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  <c r="W2" s="506"/>
      <c r="X2" s="506"/>
      <c r="Y2" s="506"/>
      <c r="Z2" s="506"/>
      <c r="AA2" s="506"/>
      <c r="AB2" s="509"/>
    </row>
    <row r="3" spans="1:28">
      <c r="A3" s="929"/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9"/>
    </row>
    <row r="4" spans="1:28" ht="20.25">
      <c r="A4" s="1473" t="s">
        <v>653</v>
      </c>
      <c r="B4" s="1474"/>
      <c r="C4" s="1474"/>
      <c r="D4" s="1474"/>
      <c r="E4" s="1474"/>
      <c r="F4" s="1474"/>
      <c r="G4" s="1474"/>
      <c r="H4" s="1474"/>
      <c r="I4" s="1474"/>
      <c r="J4" s="1474"/>
      <c r="K4" s="1474"/>
      <c r="L4" s="1474"/>
      <c r="M4" s="1474"/>
      <c r="N4" s="1474"/>
      <c r="O4" s="1474"/>
      <c r="P4" s="1474"/>
      <c r="Q4" s="1474"/>
      <c r="R4" s="1474"/>
      <c r="S4" s="1474"/>
      <c r="T4" s="1474"/>
      <c r="U4" s="1474"/>
      <c r="V4" s="1474"/>
      <c r="W4" s="1474"/>
      <c r="X4" s="1474"/>
      <c r="Y4" s="1474"/>
      <c r="Z4" s="1474"/>
      <c r="AA4" s="1474"/>
      <c r="AB4" s="1475"/>
    </row>
    <row r="5" spans="1:28" ht="12.75" customHeight="1">
      <c r="A5" s="1476" t="s">
        <v>654</v>
      </c>
      <c r="B5" s="1479" t="s">
        <v>102</v>
      </c>
      <c r="C5" s="1480"/>
      <c r="D5" s="1480"/>
      <c r="E5" s="1480"/>
      <c r="F5" s="1480"/>
      <c r="G5" s="1481"/>
      <c r="H5" s="1482" t="s">
        <v>655</v>
      </c>
      <c r="I5" s="1485" t="s">
        <v>660</v>
      </c>
      <c r="J5" s="1486"/>
      <c r="K5" s="1486"/>
      <c r="L5" s="1486"/>
      <c r="M5" s="1486"/>
      <c r="N5" s="1486"/>
      <c r="O5" s="1487"/>
      <c r="P5" s="1491" t="s">
        <v>677</v>
      </c>
      <c r="Q5" s="1492"/>
      <c r="R5" s="1492"/>
      <c r="S5" s="1493"/>
      <c r="T5" s="1485" t="s">
        <v>21</v>
      </c>
      <c r="U5" s="1488"/>
      <c r="V5" s="1482" t="s">
        <v>661</v>
      </c>
      <c r="W5" s="1482" t="s">
        <v>662</v>
      </c>
      <c r="X5" s="1482" t="s">
        <v>663</v>
      </c>
      <c r="Y5" s="1482" t="s">
        <v>656</v>
      </c>
      <c r="Z5" s="1482" t="s">
        <v>674</v>
      </c>
      <c r="AA5" s="1482" t="s">
        <v>675</v>
      </c>
      <c r="AB5" s="1507"/>
    </row>
    <row r="6" spans="1:28" ht="12.75" customHeight="1">
      <c r="A6" s="1477"/>
      <c r="B6" s="1510" t="s">
        <v>107</v>
      </c>
      <c r="C6" s="1511"/>
      <c r="D6" s="1512"/>
      <c r="E6" s="1510" t="s">
        <v>109</v>
      </c>
      <c r="F6" s="1511"/>
      <c r="G6" s="1512"/>
      <c r="H6" s="1483"/>
      <c r="I6" s="1501" t="s">
        <v>667</v>
      </c>
      <c r="J6" s="1501" t="s">
        <v>670</v>
      </c>
      <c r="K6" s="1500" t="s">
        <v>664</v>
      </c>
      <c r="L6" s="1500" t="s">
        <v>665</v>
      </c>
      <c r="M6" s="1500" t="s">
        <v>666</v>
      </c>
      <c r="N6" s="1501" t="s">
        <v>668</v>
      </c>
      <c r="O6" s="1501" t="s">
        <v>669</v>
      </c>
      <c r="P6" s="1494"/>
      <c r="Q6" s="1495"/>
      <c r="R6" s="1495"/>
      <c r="S6" s="1496"/>
      <c r="T6" s="1489" t="s">
        <v>657</v>
      </c>
      <c r="U6" s="1489" t="s">
        <v>658</v>
      </c>
      <c r="V6" s="1489"/>
      <c r="W6" s="1483"/>
      <c r="X6" s="1483"/>
      <c r="Y6" s="1483"/>
      <c r="Z6" s="1483"/>
      <c r="AA6" s="1483"/>
      <c r="AB6" s="1508"/>
    </row>
    <row r="7" spans="1:28" ht="45" customHeight="1">
      <c r="A7" s="1478"/>
      <c r="B7" s="1513"/>
      <c r="C7" s="1514"/>
      <c r="D7" s="1515"/>
      <c r="E7" s="1513"/>
      <c r="F7" s="1514"/>
      <c r="G7" s="1515"/>
      <c r="H7" s="1484"/>
      <c r="I7" s="1502"/>
      <c r="J7" s="1502"/>
      <c r="K7" s="1500"/>
      <c r="L7" s="1500"/>
      <c r="M7" s="1500"/>
      <c r="N7" s="1502"/>
      <c r="O7" s="1502"/>
      <c r="P7" s="1497"/>
      <c r="Q7" s="1498"/>
      <c r="R7" s="1498"/>
      <c r="S7" s="1499"/>
      <c r="T7" s="1484"/>
      <c r="U7" s="1484"/>
      <c r="V7" s="1490"/>
      <c r="W7" s="1484"/>
      <c r="X7" s="1484"/>
      <c r="Y7" s="1484"/>
      <c r="Z7" s="1484"/>
      <c r="AA7" s="1484"/>
      <c r="AB7" s="1509"/>
    </row>
    <row r="8" spans="1:28">
      <c r="A8" s="524"/>
      <c r="B8" s="437"/>
      <c r="C8" s="438"/>
      <c r="D8" s="439"/>
      <c r="E8" s="437"/>
      <c r="F8" s="437"/>
      <c r="G8" s="439"/>
      <c r="H8" s="440"/>
      <c r="I8" s="440"/>
      <c r="J8" s="440"/>
      <c r="K8" s="440"/>
      <c r="L8" s="440"/>
      <c r="M8" s="440"/>
      <c r="N8" s="441"/>
      <c r="O8" s="441"/>
      <c r="P8" s="452" t="s">
        <v>671</v>
      </c>
      <c r="Q8" s="439" t="s">
        <v>672</v>
      </c>
      <c r="R8" s="446" t="s">
        <v>673</v>
      </c>
      <c r="S8" s="446" t="s">
        <v>676</v>
      </c>
      <c r="T8" s="442"/>
      <c r="U8" s="442"/>
      <c r="V8" s="441"/>
      <c r="W8" s="442"/>
      <c r="X8" s="442"/>
      <c r="Y8" s="441"/>
      <c r="Z8" s="442"/>
      <c r="AA8" s="441"/>
      <c r="AB8" s="525"/>
    </row>
    <row r="9" spans="1:28">
      <c r="A9" s="526"/>
      <c r="B9" s="444"/>
      <c r="C9" s="445"/>
      <c r="D9" s="446"/>
      <c r="E9" s="444"/>
      <c r="F9" s="444"/>
      <c r="G9" s="446"/>
      <c r="H9" s="447"/>
      <c r="I9" s="448"/>
      <c r="J9" s="448"/>
      <c r="K9" s="448"/>
      <c r="L9" s="448"/>
      <c r="M9" s="448"/>
      <c r="N9" s="446"/>
      <c r="O9" s="448"/>
      <c r="P9" s="448"/>
      <c r="Q9" s="448"/>
      <c r="R9" s="448"/>
      <c r="S9" s="448"/>
      <c r="T9" s="449"/>
      <c r="U9" s="449"/>
      <c r="V9" s="446"/>
      <c r="W9" s="450"/>
      <c r="X9" s="450"/>
      <c r="Y9" s="446"/>
      <c r="Z9" s="446"/>
      <c r="AA9" s="441"/>
      <c r="AB9" s="525"/>
    </row>
    <row r="10" spans="1:28">
      <c r="A10" s="526" t="s">
        <v>644</v>
      </c>
      <c r="B10" s="444"/>
      <c r="C10" s="445"/>
      <c r="D10" s="446"/>
      <c r="E10" s="444"/>
      <c r="F10" s="444"/>
      <c r="G10" s="446"/>
      <c r="H10" s="447"/>
      <c r="I10" s="448"/>
      <c r="J10" s="448"/>
      <c r="K10" s="448"/>
      <c r="L10" s="448"/>
      <c r="M10" s="448"/>
      <c r="N10" s="446"/>
      <c r="O10" s="448"/>
      <c r="P10" s="448"/>
      <c r="Q10" s="448"/>
      <c r="R10" s="448"/>
      <c r="S10" s="448"/>
      <c r="T10" s="449"/>
      <c r="U10" s="449"/>
      <c r="V10" s="446"/>
      <c r="W10" s="450"/>
      <c r="X10" s="450"/>
      <c r="Y10" s="446"/>
      <c r="Z10" s="446"/>
      <c r="AA10" s="441"/>
      <c r="AB10" s="525"/>
    </row>
    <row r="11" spans="1:28">
      <c r="A11" s="526"/>
      <c r="B11" s="444">
        <v>0</v>
      </c>
      <c r="C11" s="444" t="s">
        <v>112</v>
      </c>
      <c r="D11" s="446">
        <v>0</v>
      </c>
      <c r="E11" s="444">
        <v>142</v>
      </c>
      <c r="F11" s="444" t="s">
        <v>112</v>
      </c>
      <c r="G11" s="446">
        <v>0</v>
      </c>
      <c r="H11" s="447">
        <f>(E11*20+G11)-(B11*20+D11)</f>
        <v>2840</v>
      </c>
      <c r="I11" s="448">
        <v>0.8</v>
      </c>
      <c r="J11" s="448">
        <v>1</v>
      </c>
      <c r="K11" s="448">
        <v>3.5</v>
      </c>
      <c r="L11" s="448">
        <v>0</v>
      </c>
      <c r="M11" s="448">
        <v>3.5</v>
      </c>
      <c r="N11" s="446">
        <v>1</v>
      </c>
      <c r="O11" s="448">
        <v>0.8</v>
      </c>
      <c r="P11" s="448">
        <v>0</v>
      </c>
      <c r="Q11" s="448">
        <v>1.1363504099999999</v>
      </c>
      <c r="R11" s="448">
        <v>0.51634426200000005</v>
      </c>
      <c r="S11" s="448">
        <v>0.167213114</v>
      </c>
      <c r="T11" s="449"/>
      <c r="U11" s="449"/>
      <c r="V11" s="446">
        <f>INT((I11+J11+K11+L11+M11+N11+O11+Q11)*H11*100+0.5)/100</f>
        <v>33331.24</v>
      </c>
      <c r="W11" s="450">
        <f>INT((I11+J11+K11+L11+M11+N11+O11+Q11)*H11*0.2*100+0.5)/100</f>
        <v>6666.25</v>
      </c>
      <c r="X11" s="450">
        <f>INT((I11+J11+K11+L11+M11+N11+O11+R11)*H11*0.2*100+0.5)/100</f>
        <v>6314.08</v>
      </c>
      <c r="Y11" s="446">
        <f>INT((J11+K11+M11+N11+S11)*H11*100+0.5)/100</f>
        <v>26034.89</v>
      </c>
      <c r="Z11" s="446">
        <f>INT((K11+M11+S11)*H11*100+0.5)/100</f>
        <v>20354.89</v>
      </c>
      <c r="AA11" s="441">
        <f>Y11-Z11</f>
        <v>5680</v>
      </c>
      <c r="AB11" s="525"/>
    </row>
    <row r="12" spans="1:28">
      <c r="A12" s="526"/>
      <c r="B12" s="444">
        <v>142</v>
      </c>
      <c r="C12" s="444" t="s">
        <v>112</v>
      </c>
      <c r="D12" s="446">
        <v>0</v>
      </c>
      <c r="E12" s="444">
        <v>175</v>
      </c>
      <c r="F12" s="444" t="s">
        <v>112</v>
      </c>
      <c r="G12" s="446">
        <v>10</v>
      </c>
      <c r="H12" s="447">
        <f>(E12*20+G12)-(B12*20+D12)</f>
        <v>670</v>
      </c>
      <c r="I12" s="448">
        <v>0.5</v>
      </c>
      <c r="J12" s="448">
        <v>0</v>
      </c>
      <c r="K12" s="448">
        <v>3.5</v>
      </c>
      <c r="L12" s="448">
        <v>0</v>
      </c>
      <c r="M12" s="448">
        <v>3.5</v>
      </c>
      <c r="N12" s="446">
        <v>0</v>
      </c>
      <c r="O12" s="448">
        <v>0.5</v>
      </c>
      <c r="P12" s="448"/>
      <c r="Q12" s="448"/>
      <c r="R12" s="448"/>
      <c r="S12" s="448"/>
      <c r="T12" s="449"/>
      <c r="U12" s="449"/>
      <c r="V12" s="446">
        <f>INT((I12+J12+K12+L12+M12+N12+O12+Q12)*H12*100+0.5)/100</f>
        <v>5360</v>
      </c>
      <c r="W12" s="450">
        <f>INT((I12+J12+K12+L12+M12+N12+O12+Q12)*H12*0.2*100+0.5)/100</f>
        <v>1072</v>
      </c>
      <c r="X12" s="450">
        <f>INT((I12+J12+K12+L12+M12+N12+O12+R12)*H12*0.2*100+0.5)/100</f>
        <v>1072</v>
      </c>
      <c r="Y12" s="446">
        <f>INT((J12+K12+M12+N12+S12)*H12*100+0.5)/100</f>
        <v>4690</v>
      </c>
      <c r="Z12" s="446">
        <f>INT((K12+M12+S12)*H12*100+0.5)/100</f>
        <v>4690</v>
      </c>
      <c r="AA12" s="441">
        <f>Y12-Z12</f>
        <v>0</v>
      </c>
      <c r="AB12" s="525"/>
    </row>
    <row r="13" spans="1:28">
      <c r="A13" s="526"/>
      <c r="B13" s="444"/>
      <c r="C13" s="445"/>
      <c r="D13" s="446"/>
      <c r="E13" s="444"/>
      <c r="F13" s="444"/>
      <c r="G13" s="446"/>
      <c r="H13" s="447"/>
      <c r="I13" s="448"/>
      <c r="J13" s="448"/>
      <c r="K13" s="448"/>
      <c r="L13" s="448"/>
      <c r="M13" s="448"/>
      <c r="N13" s="446"/>
      <c r="O13" s="448"/>
      <c r="P13" s="448"/>
      <c r="Q13" s="448"/>
      <c r="R13" s="448"/>
      <c r="S13" s="448"/>
      <c r="T13" s="449"/>
      <c r="U13" s="449"/>
      <c r="V13" s="446"/>
      <c r="W13" s="450"/>
      <c r="X13" s="450"/>
      <c r="Y13" s="446"/>
      <c r="Z13" s="446"/>
      <c r="AA13" s="441"/>
      <c r="AB13" s="525"/>
    </row>
    <row r="14" spans="1:28">
      <c r="A14" s="527" t="s">
        <v>591</v>
      </c>
      <c r="B14" s="444"/>
      <c r="C14" s="445"/>
      <c r="D14" s="446"/>
      <c r="E14" s="444"/>
      <c r="F14" s="444"/>
      <c r="G14" s="446"/>
      <c r="H14" s="447"/>
      <c r="I14" s="448"/>
      <c r="J14" s="448"/>
      <c r="K14" s="448"/>
      <c r="L14" s="448"/>
      <c r="M14" s="448"/>
      <c r="N14" s="446"/>
      <c r="O14" s="448"/>
      <c r="P14" s="448"/>
      <c r="Q14" s="448"/>
      <c r="R14" s="448"/>
      <c r="S14" s="448"/>
      <c r="T14" s="449"/>
      <c r="U14" s="449"/>
      <c r="V14" s="446"/>
      <c r="W14" s="450"/>
      <c r="X14" s="450"/>
      <c r="Y14" s="446"/>
      <c r="Z14" s="446"/>
      <c r="AA14" s="441"/>
      <c r="AB14" s="525"/>
    </row>
    <row r="15" spans="1:28">
      <c r="A15" s="526"/>
      <c r="B15" s="444">
        <v>0</v>
      </c>
      <c r="C15" s="444" t="s">
        <v>112</v>
      </c>
      <c r="D15" s="446">
        <v>0</v>
      </c>
      <c r="E15" s="444">
        <v>3</v>
      </c>
      <c r="F15" s="444" t="s">
        <v>112</v>
      </c>
      <c r="G15" s="446">
        <v>18.401</v>
      </c>
      <c r="H15" s="447">
        <f>(E15*20+G15)-(B15*20+D15)</f>
        <v>78.400999999999996</v>
      </c>
      <c r="I15" s="448">
        <v>0.5</v>
      </c>
      <c r="J15" s="448">
        <v>0</v>
      </c>
      <c r="K15" s="448">
        <v>3.5</v>
      </c>
      <c r="L15" s="448">
        <v>0</v>
      </c>
      <c r="M15" s="448">
        <v>3.5</v>
      </c>
      <c r="N15" s="446">
        <v>0</v>
      </c>
      <c r="O15" s="448">
        <v>0.5</v>
      </c>
      <c r="P15" s="448"/>
      <c r="Q15" s="448"/>
      <c r="R15" s="448"/>
      <c r="S15" s="448"/>
      <c r="T15" s="449"/>
      <c r="U15" s="449"/>
      <c r="V15" s="446">
        <f>INT((I15+J15+K15+L15+M15+N15+O15+Q15)*H15*100+0.5)/100</f>
        <v>627.21</v>
      </c>
      <c r="W15" s="450">
        <f>INT((I15+J15+K15+L15+M15+N15+O15+Q15)*H15*0.2*100+0.5)/100</f>
        <v>125.44</v>
      </c>
      <c r="X15" s="450">
        <f>INT((I15+J15+K15+L15+M15+N15+O15+R15)*H15*0.2*100+0.5)/100</f>
        <v>125.44</v>
      </c>
      <c r="Y15" s="446">
        <f>INT((J15+K15+M15+N15+S15)*H15*100+0.5)/100</f>
        <v>548.80999999999995</v>
      </c>
      <c r="Z15" s="446">
        <f>INT((K15+M15+S15)*H15*100+0.5)/100</f>
        <v>548.80999999999995</v>
      </c>
      <c r="AA15" s="441">
        <f>Y15-Z15</f>
        <v>0</v>
      </c>
      <c r="AB15" s="525"/>
    </row>
    <row r="16" spans="1:28">
      <c r="A16" s="526"/>
      <c r="B16" s="444"/>
      <c r="C16" s="444"/>
      <c r="D16" s="446"/>
      <c r="E16" s="444"/>
      <c r="F16" s="444"/>
      <c r="G16" s="446"/>
      <c r="H16" s="447"/>
      <c r="I16" s="448"/>
      <c r="J16" s="448"/>
      <c r="K16" s="448"/>
      <c r="L16" s="448"/>
      <c r="M16" s="448"/>
      <c r="N16" s="446"/>
      <c r="O16" s="448"/>
      <c r="P16" s="448"/>
      <c r="Q16" s="448"/>
      <c r="R16" s="448"/>
      <c r="S16" s="448"/>
      <c r="T16" s="449"/>
      <c r="U16" s="449"/>
      <c r="V16" s="446"/>
      <c r="W16" s="450"/>
      <c r="X16" s="450"/>
      <c r="Y16" s="446"/>
      <c r="Z16" s="446"/>
      <c r="AA16" s="441"/>
      <c r="AB16" s="525"/>
    </row>
    <row r="17" spans="1:28">
      <c r="A17" s="527" t="s">
        <v>593</v>
      </c>
      <c r="B17" s="444"/>
      <c r="C17" s="445"/>
      <c r="D17" s="446"/>
      <c r="E17" s="444"/>
      <c r="F17" s="444"/>
      <c r="G17" s="446"/>
      <c r="H17" s="447"/>
      <c r="I17" s="448"/>
      <c r="J17" s="448"/>
      <c r="K17" s="448"/>
      <c r="L17" s="448"/>
      <c r="M17" s="448"/>
      <c r="N17" s="446"/>
      <c r="O17" s="448"/>
      <c r="P17" s="448"/>
      <c r="Q17" s="448"/>
      <c r="R17" s="448"/>
      <c r="S17" s="448"/>
      <c r="T17" s="449"/>
      <c r="U17" s="449"/>
      <c r="V17" s="446"/>
      <c r="W17" s="450"/>
      <c r="X17" s="450"/>
      <c r="Y17" s="446"/>
      <c r="Z17" s="446"/>
      <c r="AA17" s="441"/>
      <c r="AB17" s="525"/>
    </row>
    <row r="18" spans="1:28">
      <c r="A18" s="526"/>
      <c r="B18" s="444">
        <v>0</v>
      </c>
      <c r="C18" s="444" t="s">
        <v>112</v>
      </c>
      <c r="D18" s="446">
        <v>0</v>
      </c>
      <c r="E18" s="444">
        <v>21</v>
      </c>
      <c r="F18" s="444" t="s">
        <v>112</v>
      </c>
      <c r="G18" s="446">
        <v>5</v>
      </c>
      <c r="H18" s="447">
        <f>(E18*20+G18)-(B18*20+D18)</f>
        <v>425</v>
      </c>
      <c r="I18" s="448">
        <v>0.5</v>
      </c>
      <c r="J18" s="448">
        <v>0</v>
      </c>
      <c r="K18" s="448">
        <v>3.5</v>
      </c>
      <c r="L18" s="448">
        <v>0</v>
      </c>
      <c r="M18" s="448">
        <v>3.5</v>
      </c>
      <c r="N18" s="446">
        <v>0</v>
      </c>
      <c r="O18" s="448">
        <v>0.5</v>
      </c>
      <c r="P18" s="448"/>
      <c r="Q18" s="448"/>
      <c r="R18" s="448"/>
      <c r="S18" s="448"/>
      <c r="T18" s="449"/>
      <c r="U18" s="449"/>
      <c r="V18" s="446">
        <f>INT((I18+J18+K18+L18+M18+N18+O18+Q18)*H18*100+0.5)/100</f>
        <v>3400</v>
      </c>
      <c r="W18" s="450">
        <f>INT((I18+J18+K18+L18+M18+N18+O18+Q18)*H18*0.2*100+0.5)/100</f>
        <v>680</v>
      </c>
      <c r="X18" s="450">
        <f>INT((I18+J18+K18+L18+M18+N18+O18+R18)*H18*0.2*100+0.5)/100</f>
        <v>680</v>
      </c>
      <c r="Y18" s="446">
        <f>INT((J18+K18+M18+N18+S18)*H18*100+0.5)/100</f>
        <v>2975</v>
      </c>
      <c r="Z18" s="446">
        <f>INT((K18+M18+S18)*H18*100+0.5)/100</f>
        <v>2975</v>
      </c>
      <c r="AA18" s="441">
        <f>Y18-Z18</f>
        <v>0</v>
      </c>
      <c r="AB18" s="525"/>
    </row>
    <row r="19" spans="1:28">
      <c r="A19" s="526"/>
      <c r="B19" s="444"/>
      <c r="C19" s="444"/>
      <c r="D19" s="446"/>
      <c r="E19" s="444"/>
      <c r="F19" s="444"/>
      <c r="G19" s="446"/>
      <c r="H19" s="447"/>
      <c r="I19" s="448"/>
      <c r="J19" s="448"/>
      <c r="K19" s="448"/>
      <c r="L19" s="448"/>
      <c r="M19" s="448"/>
      <c r="N19" s="446"/>
      <c r="O19" s="448"/>
      <c r="P19" s="448"/>
      <c r="Q19" s="448"/>
      <c r="R19" s="448"/>
      <c r="S19" s="448"/>
      <c r="T19" s="449"/>
      <c r="U19" s="449"/>
      <c r="V19" s="446"/>
      <c r="W19" s="450"/>
      <c r="X19" s="450"/>
      <c r="Y19" s="446"/>
      <c r="Z19" s="446"/>
      <c r="AA19" s="441"/>
      <c r="AB19" s="525"/>
    </row>
    <row r="20" spans="1:28">
      <c r="A20" s="526"/>
      <c r="B20" s="444"/>
      <c r="C20" s="444"/>
      <c r="D20" s="446"/>
      <c r="E20" s="444"/>
      <c r="F20" s="444"/>
      <c r="G20" s="446"/>
      <c r="H20" s="447"/>
      <c r="I20" s="448"/>
      <c r="J20" s="448"/>
      <c r="K20" s="448"/>
      <c r="L20" s="448"/>
      <c r="M20" s="448"/>
      <c r="N20" s="446"/>
      <c r="O20" s="448"/>
      <c r="P20" s="448"/>
      <c r="Q20" s="448"/>
      <c r="R20" s="448"/>
      <c r="S20" s="448"/>
      <c r="T20" s="449"/>
      <c r="U20" s="449"/>
      <c r="V20" s="446"/>
      <c r="W20" s="450"/>
      <c r="X20" s="450"/>
      <c r="Y20" s="446"/>
      <c r="Z20" s="446"/>
      <c r="AA20" s="441"/>
      <c r="AB20" s="525"/>
    </row>
    <row r="21" spans="1:28">
      <c r="A21" s="528" t="s">
        <v>831</v>
      </c>
      <c r="B21" s="444"/>
      <c r="C21" s="444"/>
      <c r="D21" s="446"/>
      <c r="E21" s="444"/>
      <c r="F21" s="444"/>
      <c r="G21" s="446"/>
      <c r="H21" s="447">
        <v>60</v>
      </c>
      <c r="I21" s="448">
        <v>0</v>
      </c>
      <c r="J21" s="448">
        <v>1</v>
      </c>
      <c r="K21" s="448">
        <v>3.5</v>
      </c>
      <c r="L21" s="448">
        <v>0</v>
      </c>
      <c r="M21" s="448">
        <v>3.5</v>
      </c>
      <c r="N21" s="446">
        <v>1</v>
      </c>
      <c r="O21" s="448">
        <v>0</v>
      </c>
      <c r="P21" s="448"/>
      <c r="Q21" s="448"/>
      <c r="R21" s="448"/>
      <c r="S21" s="448"/>
      <c r="T21" s="449"/>
      <c r="U21" s="449"/>
      <c r="V21" s="446">
        <f>INT((I21+J21+K21+L21+M21+N21+O21+Q21)*H21*100+0.5)/100</f>
        <v>540</v>
      </c>
      <c r="W21" s="450">
        <f>INT((I21+J21+K21+L21+M21+N21+O21+Q21)*H21*0.2*100+0.5)/100</f>
        <v>108</v>
      </c>
      <c r="X21" s="450">
        <f>INT((I21+J21+K21+L21+M21+N21+O21+R21)*H21*0.2*100+0.5)/100</f>
        <v>108</v>
      </c>
      <c r="Y21" s="446">
        <f>INT((J21+K21+M21+N21+S21)*H21*100+0.5)/100</f>
        <v>540</v>
      </c>
      <c r="Z21" s="446">
        <f>INT((K21+M21+S21)*H21*100+0.5)/100</f>
        <v>420</v>
      </c>
      <c r="AA21" s="441">
        <f>Y21-Z21</f>
        <v>120</v>
      </c>
      <c r="AB21" s="525"/>
    </row>
    <row r="22" spans="1:28">
      <c r="A22" s="529"/>
      <c r="B22" s="437"/>
      <c r="C22" s="437"/>
      <c r="D22" s="439"/>
      <c r="E22" s="437"/>
      <c r="F22" s="437"/>
      <c r="G22" s="439"/>
      <c r="H22" s="440"/>
      <c r="I22" s="440"/>
      <c r="J22" s="440"/>
      <c r="K22" s="440"/>
      <c r="L22" s="440"/>
      <c r="M22" s="440"/>
      <c r="N22" s="441"/>
      <c r="O22" s="441"/>
      <c r="P22" s="441"/>
      <c r="Q22" s="441"/>
      <c r="R22" s="441"/>
      <c r="S22" s="441"/>
      <c r="T22" s="440"/>
      <c r="U22" s="440"/>
      <c r="V22" s="440"/>
      <c r="W22" s="440"/>
      <c r="X22" s="440"/>
      <c r="Y22" s="440"/>
      <c r="Z22" s="440"/>
      <c r="AA22" s="440"/>
      <c r="AB22" s="530"/>
    </row>
    <row r="23" spans="1:28">
      <c r="A23" s="531" t="s">
        <v>20</v>
      </c>
      <c r="B23" s="437"/>
      <c r="C23" s="438"/>
      <c r="D23" s="439"/>
      <c r="E23" s="437"/>
      <c r="F23" s="437"/>
      <c r="G23" s="439"/>
      <c r="H23" s="443">
        <f>SUM(H9:H21)</f>
        <v>4073.4009999999998</v>
      </c>
      <c r="I23" s="443"/>
      <c r="J23" s="443"/>
      <c r="K23" s="443"/>
      <c r="L23" s="443"/>
      <c r="M23" s="443"/>
      <c r="N23" s="443"/>
      <c r="O23" s="443"/>
      <c r="P23" s="443"/>
      <c r="Q23" s="443"/>
      <c r="R23" s="443"/>
      <c r="S23" s="443"/>
      <c r="T23" s="443">
        <f t="shared" ref="T23:AA23" si="0">SUM(T9:T21)</f>
        <v>0</v>
      </c>
      <c r="U23" s="443">
        <f t="shared" si="0"/>
        <v>0</v>
      </c>
      <c r="V23" s="443">
        <f t="shared" si="0"/>
        <v>43258.45</v>
      </c>
      <c r="W23" s="443">
        <f t="shared" si="0"/>
        <v>8651.6899999999987</v>
      </c>
      <c r="X23" s="443">
        <f t="shared" si="0"/>
        <v>8299.52</v>
      </c>
      <c r="Y23" s="443">
        <f t="shared" si="0"/>
        <v>34788.699999999997</v>
      </c>
      <c r="Z23" s="443">
        <f t="shared" si="0"/>
        <v>28988.7</v>
      </c>
      <c r="AA23" s="443">
        <f t="shared" si="0"/>
        <v>5800</v>
      </c>
      <c r="AB23" s="532"/>
    </row>
    <row r="24" spans="1:28">
      <c r="A24" s="533"/>
      <c r="B24" s="436"/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436"/>
      <c r="N24" s="436"/>
      <c r="O24" s="436"/>
      <c r="P24" s="436"/>
      <c r="Q24" s="436"/>
      <c r="R24" s="436"/>
      <c r="S24" s="436"/>
      <c r="T24" s="451"/>
      <c r="U24" s="451"/>
      <c r="V24" s="451"/>
      <c r="W24" s="451"/>
      <c r="X24" s="451"/>
      <c r="Y24" s="451"/>
      <c r="Z24" s="451"/>
      <c r="AA24" s="1503"/>
      <c r="AB24" s="1504"/>
    </row>
    <row r="25" spans="1:28" ht="13.5" thickBot="1">
      <c r="A25" s="534" t="s">
        <v>659</v>
      </c>
      <c r="B25" s="535"/>
      <c r="C25" s="535"/>
      <c r="D25" s="535"/>
      <c r="E25" s="535"/>
      <c r="F25" s="535"/>
      <c r="G25" s="535"/>
      <c r="H25" s="535"/>
      <c r="I25" s="535"/>
      <c r="J25" s="535"/>
      <c r="K25" s="535"/>
      <c r="L25" s="535"/>
      <c r="M25" s="535"/>
      <c r="N25" s="535"/>
      <c r="O25" s="535"/>
      <c r="P25" s="535"/>
      <c r="Q25" s="535"/>
      <c r="R25" s="535"/>
      <c r="S25" s="535"/>
      <c r="T25" s="536"/>
      <c r="U25" s="536"/>
      <c r="V25" s="536"/>
      <c r="W25" s="536"/>
      <c r="X25" s="536"/>
      <c r="Y25" s="536"/>
      <c r="Z25" s="536"/>
      <c r="AA25" s="1505"/>
      <c r="AB25" s="1506"/>
    </row>
  </sheetData>
  <mergeCells count="26">
    <mergeCell ref="B6:D7"/>
    <mergeCell ref="E6:G7"/>
    <mergeCell ref="I6:I7"/>
    <mergeCell ref="J6:J7"/>
    <mergeCell ref="K6:K7"/>
    <mergeCell ref="AA24:AB25"/>
    <mergeCell ref="Y5:Y7"/>
    <mergeCell ref="Z5:Z7"/>
    <mergeCell ref="AA5:AA7"/>
    <mergeCell ref="AB5:AB7"/>
    <mergeCell ref="A4:AB4"/>
    <mergeCell ref="A5:A7"/>
    <mergeCell ref="B5:G5"/>
    <mergeCell ref="H5:H7"/>
    <mergeCell ref="I5:O5"/>
    <mergeCell ref="T5:U5"/>
    <mergeCell ref="V5:V7"/>
    <mergeCell ref="W5:W7"/>
    <mergeCell ref="X5:X7"/>
    <mergeCell ref="T6:T7"/>
    <mergeCell ref="U6:U7"/>
    <mergeCell ref="P5:S7"/>
    <mergeCell ref="M6:M7"/>
    <mergeCell ref="N6:N7"/>
    <mergeCell ref="O6:O7"/>
    <mergeCell ref="L6:L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workbookViewId="0">
      <selection activeCell="G25" sqref="G25"/>
    </sheetView>
  </sheetViews>
  <sheetFormatPr defaultRowHeight="12.75"/>
  <cols>
    <col min="1" max="1" width="14.5703125" customWidth="1"/>
    <col min="2" max="2" width="59.85546875" customWidth="1"/>
    <col min="3" max="3" width="39.140625" customWidth="1"/>
    <col min="4" max="4" width="24.28515625" customWidth="1"/>
  </cols>
  <sheetData>
    <row r="1" spans="1:3" ht="12.75" customHeight="1">
      <c r="A1" s="1106" t="s">
        <v>895</v>
      </c>
      <c r="B1" s="1107"/>
      <c r="C1" s="1108"/>
    </row>
    <row r="2" spans="1:3" ht="15.75" customHeight="1">
      <c r="A2" s="1109"/>
      <c r="B2" s="1110"/>
      <c r="C2" s="1111"/>
    </row>
    <row r="3" spans="1:3" ht="14.25">
      <c r="A3" s="1129" t="s">
        <v>746</v>
      </c>
      <c r="B3" s="1130"/>
      <c r="C3" s="570" t="s">
        <v>762</v>
      </c>
    </row>
    <row r="4" spans="1:3">
      <c r="A4" s="731"/>
      <c r="B4" s="732"/>
      <c r="C4" s="733"/>
    </row>
    <row r="5" spans="1:3" ht="15.75">
      <c r="A5" s="571" t="s">
        <v>1</v>
      </c>
      <c r="B5" s="571" t="s">
        <v>2</v>
      </c>
      <c r="C5" s="572" t="s">
        <v>747</v>
      </c>
    </row>
    <row r="6" spans="1:3">
      <c r="A6" s="734"/>
      <c r="B6" s="735"/>
      <c r="C6" s="736"/>
    </row>
    <row r="7" spans="1:3">
      <c r="A7" s="1117" t="s">
        <v>748</v>
      </c>
      <c r="B7" s="1131" t="str">
        <f>ORÇAMENTO!B10</f>
        <v>SERVIÇOS PRELIMINARES</v>
      </c>
      <c r="C7" s="737"/>
    </row>
    <row r="8" spans="1:3" ht="14.25">
      <c r="A8" s="1118"/>
      <c r="B8" s="1121"/>
      <c r="C8" s="738">
        <f>ORÇAMENTO!G17</f>
        <v>979229.66999999993</v>
      </c>
    </row>
    <row r="9" spans="1:3">
      <c r="A9" s="1119"/>
      <c r="B9" s="1128"/>
      <c r="C9" s="739"/>
    </row>
    <row r="10" spans="1:3">
      <c r="A10" s="1117" t="s">
        <v>749</v>
      </c>
      <c r="B10" s="1120" t="str">
        <f>ORÇAMENTO!B19</f>
        <v>TERRAPLENAGEM</v>
      </c>
      <c r="C10" s="740"/>
    </row>
    <row r="11" spans="1:3" ht="14.25">
      <c r="A11" s="1118"/>
      <c r="B11" s="1121"/>
      <c r="C11" s="738">
        <f>ORÇAMENTO!G29</f>
        <v>572388.68999999994</v>
      </c>
    </row>
    <row r="12" spans="1:3">
      <c r="A12" s="1119"/>
      <c r="B12" s="1128"/>
      <c r="C12" s="739"/>
    </row>
    <row r="13" spans="1:3">
      <c r="A13" s="1117" t="s">
        <v>750</v>
      </c>
      <c r="B13" s="1120" t="str">
        <f>ORÇAMENTO!B31</f>
        <v>PAVIMENTAÇÃO</v>
      </c>
      <c r="C13" s="737"/>
    </row>
    <row r="14" spans="1:3" ht="14.25">
      <c r="A14" s="1118"/>
      <c r="B14" s="1121"/>
      <c r="C14" s="738">
        <f>ORÇAMENTO!G39</f>
        <v>857130.75</v>
      </c>
    </row>
    <row r="15" spans="1:3">
      <c r="A15" s="1119"/>
      <c r="B15" s="1128"/>
      <c r="C15" s="739"/>
    </row>
    <row r="16" spans="1:3">
      <c r="A16" s="1117" t="s">
        <v>751</v>
      </c>
      <c r="B16" s="1120" t="str">
        <f>ORÇAMENTO!B41</f>
        <v>TRANSPORTE PARA PAVIMENTAÇÃO</v>
      </c>
      <c r="C16" s="737"/>
    </row>
    <row r="17" spans="1:3" ht="14.25">
      <c r="A17" s="1118"/>
      <c r="B17" s="1121"/>
      <c r="C17" s="738">
        <f>ORÇAMENTO!G46</f>
        <v>187206.52000000002</v>
      </c>
    </row>
    <row r="18" spans="1:3">
      <c r="A18" s="1119"/>
      <c r="B18" s="1128"/>
      <c r="C18" s="739"/>
    </row>
    <row r="19" spans="1:3">
      <c r="A19" s="1117" t="s">
        <v>752</v>
      </c>
      <c r="B19" s="1120" t="str">
        <f>ORÇAMENTO!B48</f>
        <v>DRENAGEM</v>
      </c>
      <c r="C19" s="741"/>
    </row>
    <row r="20" spans="1:3" ht="14.25">
      <c r="A20" s="1118"/>
      <c r="B20" s="1121"/>
      <c r="C20" s="738">
        <f>ORÇAMENTO!G60</f>
        <v>288133.12999999995</v>
      </c>
    </row>
    <row r="21" spans="1:3">
      <c r="A21" s="1119"/>
      <c r="B21" s="1128"/>
      <c r="C21" s="739"/>
    </row>
    <row r="22" spans="1:3">
      <c r="A22" s="1117" t="s">
        <v>753</v>
      </c>
      <c r="B22" s="1120" t="str">
        <f>ORÇAMENTO!B62</f>
        <v>TRANSPORTE DE DRENAGEM</v>
      </c>
      <c r="C22" s="741"/>
    </row>
    <row r="23" spans="1:3" ht="14.25">
      <c r="A23" s="1118"/>
      <c r="B23" s="1121"/>
      <c r="C23" s="738">
        <f>ORÇAMENTO!G65</f>
        <v>52041.03</v>
      </c>
    </row>
    <row r="24" spans="1:3">
      <c r="A24" s="1119"/>
      <c r="B24" s="1128"/>
      <c r="C24" s="739"/>
    </row>
    <row r="25" spans="1:3">
      <c r="A25" s="1117" t="s">
        <v>754</v>
      </c>
      <c r="B25" s="1120" t="str">
        <f>ORÇAMENTO!B67</f>
        <v>OBRAS DE ARTE CORRENTES</v>
      </c>
      <c r="C25" s="737"/>
    </row>
    <row r="26" spans="1:3" ht="14.25">
      <c r="A26" s="1118"/>
      <c r="B26" s="1121"/>
      <c r="C26" s="738">
        <f>ORÇAMENTO!G77</f>
        <v>193945.54000000004</v>
      </c>
    </row>
    <row r="27" spans="1:3">
      <c r="A27" s="1119"/>
      <c r="B27" s="1128"/>
      <c r="C27" s="739"/>
    </row>
    <row r="28" spans="1:3">
      <c r="A28" s="1117" t="s">
        <v>755</v>
      </c>
      <c r="B28" s="1120" t="str">
        <f>ORÇAMENTO!B79</f>
        <v>TRANSPORTE DE OBRAS DE ARTES CORRENTES</v>
      </c>
      <c r="C28" s="740"/>
    </row>
    <row r="29" spans="1:3">
      <c r="A29" s="1118"/>
      <c r="B29" s="1121"/>
      <c r="C29" s="740">
        <f>ORÇAMENTO!G82</f>
        <v>20222</v>
      </c>
    </row>
    <row r="30" spans="1:3">
      <c r="A30" s="1119"/>
      <c r="B30" s="1128"/>
      <c r="C30" s="739"/>
    </row>
    <row r="31" spans="1:3">
      <c r="A31" s="1117" t="s">
        <v>756</v>
      </c>
      <c r="B31" s="1120" t="str">
        <f>ORÇAMENTO!B84</f>
        <v>SINALIZAÇÃO</v>
      </c>
      <c r="C31" s="740"/>
    </row>
    <row r="32" spans="1:3">
      <c r="A32" s="1118"/>
      <c r="B32" s="1121"/>
      <c r="C32" s="740">
        <f>ORÇAMENTO!G89</f>
        <v>103688.97</v>
      </c>
    </row>
    <row r="33" spans="1:3">
      <c r="A33" s="1119"/>
      <c r="B33" s="1121"/>
      <c r="C33" s="740"/>
    </row>
    <row r="34" spans="1:3">
      <c r="A34" s="1117" t="s">
        <v>757</v>
      </c>
      <c r="B34" s="1120" t="str">
        <f>ORÇAMENTO!B91</f>
        <v>OBRAS COMPLEMENTARES</v>
      </c>
      <c r="C34" s="737"/>
    </row>
    <row r="35" spans="1:3" ht="14.25">
      <c r="A35" s="1118"/>
      <c r="B35" s="1121"/>
      <c r="C35" s="738">
        <f>ORÇAMENTO!G93</f>
        <v>158603.71</v>
      </c>
    </row>
    <row r="36" spans="1:3">
      <c r="A36" s="1119"/>
      <c r="B36" s="1121"/>
      <c r="C36" s="739"/>
    </row>
    <row r="37" spans="1:3">
      <c r="A37" s="1117" t="s">
        <v>763</v>
      </c>
      <c r="B37" s="1120" t="str">
        <f>ORÇAMENTO!B95</f>
        <v>RECUPERAÇÃO AMBIENTAL</v>
      </c>
      <c r="C37" s="737"/>
    </row>
    <row r="38" spans="1:3" ht="14.25">
      <c r="A38" s="1118"/>
      <c r="B38" s="1121"/>
      <c r="C38" s="738">
        <f>ORÇAMENTO!G98</f>
        <v>166335.47</v>
      </c>
    </row>
    <row r="39" spans="1:3">
      <c r="A39" s="1119"/>
      <c r="B39" s="1121"/>
      <c r="C39" s="739"/>
    </row>
    <row r="40" spans="1:3">
      <c r="A40" s="1122" t="s">
        <v>758</v>
      </c>
      <c r="B40" s="1123"/>
      <c r="C40" s="737"/>
    </row>
    <row r="41" spans="1:3" ht="15.75">
      <c r="A41" s="1124"/>
      <c r="B41" s="1125"/>
      <c r="C41" s="742">
        <f>SUM(C8:C39)</f>
        <v>3578925.48</v>
      </c>
    </row>
    <row r="42" spans="1:3">
      <c r="A42" s="1126"/>
      <c r="B42" s="1127"/>
      <c r="C42" s="739"/>
    </row>
    <row r="43" spans="1:3" ht="15.75">
      <c r="A43" s="1114" t="s">
        <v>764</v>
      </c>
      <c r="B43" s="1115"/>
      <c r="C43" s="923">
        <v>4.0734000000000004</v>
      </c>
    </row>
    <row r="44" spans="1:3" ht="15.75">
      <c r="A44" s="1114" t="s">
        <v>759</v>
      </c>
      <c r="B44" s="1115"/>
      <c r="C44" s="573">
        <f>C41/C43</f>
        <v>878608.89674473403</v>
      </c>
    </row>
    <row r="45" spans="1:3">
      <c r="A45" s="731"/>
      <c r="B45" s="732"/>
      <c r="C45" s="733"/>
    </row>
    <row r="46" spans="1:3">
      <c r="A46" s="743" t="s">
        <v>760</v>
      </c>
      <c r="B46" s="1112" t="s">
        <v>892</v>
      </c>
      <c r="C46" s="1113"/>
    </row>
    <row r="47" spans="1:3">
      <c r="A47" s="743" t="s">
        <v>761</v>
      </c>
      <c r="B47" s="1116" t="s">
        <v>893</v>
      </c>
      <c r="C47" s="1116"/>
    </row>
  </sheetData>
  <mergeCells count="29">
    <mergeCell ref="A3:B3"/>
    <mergeCell ref="A7:A9"/>
    <mergeCell ref="B7:B9"/>
    <mergeCell ref="A10:A12"/>
    <mergeCell ref="B10:B12"/>
    <mergeCell ref="A28:A30"/>
    <mergeCell ref="B28:B30"/>
    <mergeCell ref="A13:A15"/>
    <mergeCell ref="B13:B15"/>
    <mergeCell ref="A16:A18"/>
    <mergeCell ref="B16:B18"/>
    <mergeCell ref="A19:A21"/>
    <mergeCell ref="B19:B21"/>
    <mergeCell ref="A1:C2"/>
    <mergeCell ref="B46:C46"/>
    <mergeCell ref="A44:B44"/>
    <mergeCell ref="B47:C47"/>
    <mergeCell ref="A37:A39"/>
    <mergeCell ref="B37:B39"/>
    <mergeCell ref="A40:B42"/>
    <mergeCell ref="A43:B43"/>
    <mergeCell ref="A31:A33"/>
    <mergeCell ref="B31:B33"/>
    <mergeCell ref="A34:A36"/>
    <mergeCell ref="B34:B36"/>
    <mergeCell ref="A22:A24"/>
    <mergeCell ref="B22:B24"/>
    <mergeCell ref="A25:A27"/>
    <mergeCell ref="B25:B27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0"/>
  <sheetViews>
    <sheetView workbookViewId="0">
      <selection activeCell="L25" sqref="L25"/>
    </sheetView>
  </sheetViews>
  <sheetFormatPr defaultRowHeight="12.75"/>
  <cols>
    <col min="1" max="1" width="17.85546875" bestFit="1" customWidth="1"/>
    <col min="2" max="2" width="5.42578125" bestFit="1" customWidth="1"/>
    <col min="3" max="3" width="8.28515625" bestFit="1" customWidth="1"/>
    <col min="4" max="4" width="4.85546875" customWidth="1"/>
    <col min="5" max="5" width="8.28515625" bestFit="1" customWidth="1"/>
    <col min="6" max="6" width="7.85546875" bestFit="1" customWidth="1"/>
    <col min="7" max="7" width="6.7109375" bestFit="1" customWidth="1"/>
    <col min="8" max="8" width="9.42578125" customWidth="1"/>
    <col min="9" max="10" width="6.7109375" customWidth="1"/>
    <col min="11" max="11" width="9.140625" customWidth="1"/>
    <col min="12" max="12" width="8.140625" customWidth="1"/>
    <col min="13" max="14" width="6.7109375" bestFit="1" customWidth="1"/>
    <col min="15" max="15" width="6.7109375" customWidth="1"/>
    <col min="16" max="16" width="8.85546875" bestFit="1" customWidth="1"/>
    <col min="17" max="17" width="6.42578125" bestFit="1" customWidth="1"/>
  </cols>
  <sheetData>
    <row r="1" spans="1:17">
      <c r="A1" s="1516" t="s">
        <v>830</v>
      </c>
      <c r="B1" s="1516"/>
      <c r="C1" s="1516"/>
      <c r="D1" s="1516"/>
      <c r="E1" s="1516"/>
      <c r="F1" s="1516"/>
      <c r="G1" s="1516"/>
      <c r="H1" s="1516"/>
      <c r="I1" s="1516"/>
      <c r="J1" s="1516"/>
      <c r="K1" s="1516"/>
      <c r="L1" s="1516"/>
      <c r="M1" s="1516"/>
      <c r="N1" s="1516"/>
      <c r="O1" s="1516"/>
      <c r="P1" s="1516"/>
      <c r="Q1" s="1516"/>
    </row>
    <row r="2" spans="1:17">
      <c r="A2" s="1517" t="s">
        <v>896</v>
      </c>
      <c r="B2" s="1518"/>
      <c r="C2" s="1518"/>
      <c r="D2" s="1518"/>
      <c r="E2" s="1518"/>
      <c r="F2" s="1518"/>
      <c r="G2" s="1518"/>
      <c r="H2" s="1518"/>
      <c r="I2" s="1518"/>
      <c r="J2" s="1518"/>
      <c r="K2" s="1518"/>
      <c r="L2" s="1518"/>
      <c r="M2" s="1518"/>
      <c r="N2" s="1518"/>
      <c r="O2" s="1518"/>
      <c r="P2" s="1518"/>
      <c r="Q2" s="1518"/>
    </row>
    <row r="3" spans="1:17" ht="18.75">
      <c r="A3" s="1525" t="s">
        <v>901</v>
      </c>
      <c r="B3" s="1526"/>
      <c r="C3" s="1526"/>
      <c r="D3" s="1526"/>
      <c r="E3" s="1526"/>
      <c r="F3" s="1526"/>
      <c r="G3" s="1526"/>
      <c r="H3" s="1526"/>
      <c r="I3" s="1526"/>
      <c r="J3" s="1526"/>
      <c r="K3" s="1526"/>
      <c r="L3" s="1526"/>
      <c r="M3" s="1526"/>
      <c r="N3" s="1526"/>
      <c r="O3" s="1526"/>
      <c r="P3" s="1526"/>
      <c r="Q3" s="1527"/>
    </row>
    <row r="4" spans="1:17" ht="12.75" customHeight="1">
      <c r="A4" s="766"/>
      <c r="B4" s="1519" t="s">
        <v>897</v>
      </c>
      <c r="C4" s="1520"/>
      <c r="D4" s="1521" t="s">
        <v>898</v>
      </c>
      <c r="E4" s="1522"/>
      <c r="F4" s="1521" t="s">
        <v>776</v>
      </c>
      <c r="G4" s="1522"/>
      <c r="H4" s="1524" t="s">
        <v>780</v>
      </c>
      <c r="I4" s="1521" t="s">
        <v>778</v>
      </c>
      <c r="J4" s="1522"/>
      <c r="K4" s="1521" t="s">
        <v>900</v>
      </c>
      <c r="L4" s="1522"/>
      <c r="M4" s="1521" t="s">
        <v>777</v>
      </c>
      <c r="N4" s="1523"/>
      <c r="O4" s="1523"/>
      <c r="P4" s="1519" t="s">
        <v>779</v>
      </c>
      <c r="Q4" s="1520"/>
    </row>
    <row r="5" spans="1:17" ht="25.5">
      <c r="A5" s="767" t="s">
        <v>654</v>
      </c>
      <c r="B5" s="768">
        <v>1</v>
      </c>
      <c r="C5" s="768" t="s">
        <v>781</v>
      </c>
      <c r="D5" s="768">
        <v>1</v>
      </c>
      <c r="E5" s="768" t="s">
        <v>781</v>
      </c>
      <c r="F5" s="769" t="s">
        <v>782</v>
      </c>
      <c r="G5" s="769" t="s">
        <v>783</v>
      </c>
      <c r="H5" s="1524"/>
      <c r="I5" s="769" t="s">
        <v>790</v>
      </c>
      <c r="J5" s="769" t="s">
        <v>791</v>
      </c>
      <c r="K5" s="769" t="s">
        <v>788</v>
      </c>
      <c r="L5" s="769" t="s">
        <v>789</v>
      </c>
      <c r="M5" s="769" t="s">
        <v>784</v>
      </c>
      <c r="N5" s="769" t="s">
        <v>785</v>
      </c>
      <c r="O5" s="769" t="s">
        <v>786</v>
      </c>
      <c r="P5" s="768" t="s">
        <v>792</v>
      </c>
      <c r="Q5" s="769" t="s">
        <v>787</v>
      </c>
    </row>
    <row r="6" spans="1:17">
      <c r="A6" s="910"/>
      <c r="B6" s="910" t="s">
        <v>793</v>
      </c>
      <c r="C6" s="910"/>
      <c r="D6" s="910" t="s">
        <v>793</v>
      </c>
      <c r="E6" s="910" t="s">
        <v>793</v>
      </c>
      <c r="F6" s="910" t="s">
        <v>899</v>
      </c>
      <c r="G6" s="910" t="s">
        <v>794</v>
      </c>
      <c r="H6" s="910" t="s">
        <v>795</v>
      </c>
      <c r="I6" s="910"/>
      <c r="J6" s="910"/>
      <c r="K6" s="910"/>
      <c r="L6" s="910"/>
      <c r="M6" s="910"/>
      <c r="N6" s="910"/>
      <c r="O6" s="910"/>
      <c r="P6" s="910"/>
      <c r="Q6" s="910"/>
    </row>
    <row r="7" spans="1:17">
      <c r="A7" s="770"/>
      <c r="B7" s="910"/>
      <c r="C7" s="910"/>
      <c r="D7" s="910"/>
      <c r="E7" s="910"/>
      <c r="F7" s="910"/>
      <c r="G7" s="910"/>
      <c r="H7" s="910"/>
      <c r="I7" s="910"/>
      <c r="J7" s="910"/>
      <c r="K7" s="910"/>
      <c r="L7" s="910"/>
      <c r="M7" s="910"/>
      <c r="N7" s="910"/>
      <c r="O7" s="910"/>
      <c r="P7" s="910"/>
      <c r="Q7" s="910"/>
    </row>
    <row r="8" spans="1:17">
      <c r="A8" s="773" t="s">
        <v>644</v>
      </c>
      <c r="B8" s="771">
        <v>56</v>
      </c>
      <c r="C8" s="772">
        <v>19</v>
      </c>
      <c r="D8" s="772">
        <v>8</v>
      </c>
      <c r="E8" s="772">
        <v>1</v>
      </c>
      <c r="F8" s="772">
        <v>680</v>
      </c>
      <c r="G8" s="772">
        <v>2</v>
      </c>
      <c r="H8" s="771">
        <v>3310</v>
      </c>
      <c r="I8" s="772">
        <v>17</v>
      </c>
      <c r="J8" s="772">
        <v>1</v>
      </c>
      <c r="K8" s="772">
        <v>54.99</v>
      </c>
      <c r="L8" s="772">
        <v>4.5999999999999996</v>
      </c>
      <c r="M8" s="772">
        <v>10</v>
      </c>
      <c r="N8" s="772">
        <v>1</v>
      </c>
      <c r="O8" s="772">
        <v>1</v>
      </c>
      <c r="P8" s="772">
        <v>680</v>
      </c>
      <c r="Q8" s="772">
        <v>9</v>
      </c>
    </row>
    <row r="9" spans="1:17">
      <c r="A9" s="774"/>
      <c r="B9" s="771"/>
      <c r="C9" s="772"/>
      <c r="D9" s="772"/>
      <c r="E9" s="772"/>
      <c r="F9" s="772"/>
      <c r="G9" s="772"/>
      <c r="H9" s="771"/>
      <c r="I9" s="772"/>
      <c r="J9" s="772"/>
      <c r="K9" s="772"/>
      <c r="L9" s="772"/>
      <c r="M9" s="772"/>
      <c r="N9" s="772"/>
      <c r="O9" s="772"/>
      <c r="P9" s="772"/>
      <c r="Q9" s="772"/>
    </row>
    <row r="10" spans="1:17">
      <c r="A10" s="766" t="s">
        <v>20</v>
      </c>
      <c r="B10" s="775">
        <f t="shared" ref="B10:P10" si="0">SUM(B8:B8)</f>
        <v>56</v>
      </c>
      <c r="C10" s="775">
        <f t="shared" si="0"/>
        <v>19</v>
      </c>
      <c r="D10" s="775">
        <f t="shared" si="0"/>
        <v>8</v>
      </c>
      <c r="E10" s="775">
        <f t="shared" si="0"/>
        <v>1</v>
      </c>
      <c r="F10" s="775">
        <f t="shared" si="0"/>
        <v>680</v>
      </c>
      <c r="G10" s="775">
        <f t="shared" si="0"/>
        <v>2</v>
      </c>
      <c r="H10" s="775">
        <v>3414</v>
      </c>
      <c r="I10" s="775">
        <v>18</v>
      </c>
      <c r="J10" s="775">
        <f>SUM(J8:J8)</f>
        <v>1</v>
      </c>
      <c r="K10" s="775">
        <v>55.89</v>
      </c>
      <c r="L10" s="775">
        <f>SUM(L8:L8)</f>
        <v>4.5999999999999996</v>
      </c>
      <c r="M10" s="775">
        <v>11</v>
      </c>
      <c r="N10" s="775">
        <f t="shared" si="0"/>
        <v>1</v>
      </c>
      <c r="O10" s="775">
        <f t="shared" si="0"/>
        <v>1</v>
      </c>
      <c r="P10" s="775">
        <f t="shared" si="0"/>
        <v>680</v>
      </c>
      <c r="Q10" s="775">
        <f>SUM(Q8:Q8)</f>
        <v>9</v>
      </c>
    </row>
  </sheetData>
  <mergeCells count="11">
    <mergeCell ref="A1:Q1"/>
    <mergeCell ref="A2:Q2"/>
    <mergeCell ref="B4:C4"/>
    <mergeCell ref="D4:E4"/>
    <mergeCell ref="I4:J4"/>
    <mergeCell ref="K4:L4"/>
    <mergeCell ref="M4:O4"/>
    <mergeCell ref="H4:H5"/>
    <mergeCell ref="A3:Q3"/>
    <mergeCell ref="F4:G4"/>
    <mergeCell ref="P4:Q4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9"/>
  <sheetViews>
    <sheetView topLeftCell="A2" workbookViewId="0">
      <selection activeCell="H29" sqref="A1:H29"/>
    </sheetView>
  </sheetViews>
  <sheetFormatPr defaultRowHeight="12.75"/>
  <cols>
    <col min="1" max="1" width="4.5703125" customWidth="1"/>
    <col min="2" max="2" width="47" customWidth="1"/>
    <col min="3" max="3" width="7.7109375" customWidth="1"/>
    <col min="4" max="4" width="0" hidden="1" customWidth="1"/>
    <col min="5" max="5" width="12.28515625" customWidth="1"/>
    <col min="6" max="6" width="21.5703125" customWidth="1"/>
    <col min="7" max="7" width="15" customWidth="1"/>
    <col min="8" max="8" width="17" customWidth="1"/>
  </cols>
  <sheetData>
    <row r="1" spans="1:8" ht="15">
      <c r="A1" s="1530" t="s">
        <v>797</v>
      </c>
      <c r="B1" s="1531"/>
      <c r="C1" s="1531"/>
      <c r="D1" s="1531"/>
      <c r="E1" s="1531"/>
      <c r="F1" s="1531"/>
      <c r="G1" s="1531"/>
      <c r="H1" s="1532"/>
    </row>
    <row r="2" spans="1:8">
      <c r="A2" s="1533" t="s">
        <v>798</v>
      </c>
      <c r="B2" s="1534"/>
      <c r="C2" s="1534"/>
      <c r="D2" s="805"/>
      <c r="E2" s="506" t="s">
        <v>799</v>
      </c>
      <c r="F2" s="506"/>
      <c r="G2" s="794">
        <v>1049.95</v>
      </c>
      <c r="H2" s="509" t="s">
        <v>800</v>
      </c>
    </row>
    <row r="3" spans="1:8" ht="15">
      <c r="A3" s="1533" t="s">
        <v>801</v>
      </c>
      <c r="B3" s="1534"/>
      <c r="C3" s="1534"/>
      <c r="D3" s="805"/>
      <c r="E3" s="506" t="s">
        <v>802</v>
      </c>
      <c r="F3" s="506"/>
      <c r="G3" s="795">
        <v>1</v>
      </c>
      <c r="H3" s="509"/>
    </row>
    <row r="4" spans="1:8">
      <c r="A4" s="1533"/>
      <c r="B4" s="1534"/>
      <c r="C4" s="1534"/>
      <c r="D4" s="805"/>
      <c r="E4" s="506" t="s">
        <v>803</v>
      </c>
      <c r="F4" s="506"/>
      <c r="G4" s="794">
        <f>G2</f>
        <v>1049.95</v>
      </c>
      <c r="H4" s="509" t="s">
        <v>800</v>
      </c>
    </row>
    <row r="5" spans="1:8" ht="15.75" thickBot="1">
      <c r="A5" s="1535" t="s">
        <v>804</v>
      </c>
      <c r="B5" s="1536"/>
      <c r="C5" s="1536"/>
      <c r="D5" s="1536"/>
      <c r="E5" s="1536"/>
      <c r="F5" s="1536"/>
      <c r="G5" s="1536"/>
      <c r="H5" s="1537"/>
    </row>
    <row r="6" spans="1:8" ht="48">
      <c r="A6" s="776" t="s">
        <v>805</v>
      </c>
      <c r="B6" s="1538" t="s">
        <v>806</v>
      </c>
      <c r="C6" s="1538"/>
      <c r="D6" s="806"/>
      <c r="E6" s="777" t="s">
        <v>807</v>
      </c>
      <c r="F6" s="778" t="s">
        <v>822</v>
      </c>
      <c r="G6" s="779" t="s">
        <v>808</v>
      </c>
      <c r="H6" s="780" t="s">
        <v>809</v>
      </c>
    </row>
    <row r="7" spans="1:8" ht="15">
      <c r="A7" s="1539" t="s">
        <v>810</v>
      </c>
      <c r="B7" s="1540"/>
      <c r="C7" s="1540"/>
      <c r="D7" s="1540"/>
      <c r="E7" s="1540"/>
      <c r="F7" s="1540"/>
      <c r="G7" s="1540"/>
      <c r="H7" s="1541"/>
    </row>
    <row r="8" spans="1:8" ht="15">
      <c r="A8" s="781"/>
      <c r="B8" s="1518" t="s">
        <v>828</v>
      </c>
      <c r="C8" s="1518"/>
      <c r="D8" s="807"/>
      <c r="E8" s="1542"/>
      <c r="F8" s="1542"/>
      <c r="G8" s="1542"/>
      <c r="H8" s="1543"/>
    </row>
    <row r="9" spans="1:8" ht="15">
      <c r="A9" s="782">
        <v>1</v>
      </c>
      <c r="B9" s="1544" t="s">
        <v>811</v>
      </c>
      <c r="C9" s="1544"/>
      <c r="D9" s="808">
        <v>16</v>
      </c>
      <c r="E9" s="796">
        <v>6</v>
      </c>
      <c r="F9" s="784">
        <v>0.4</v>
      </c>
      <c r="G9" s="785">
        <f>TRUNC($G$4*F9,2)</f>
        <v>419.98</v>
      </c>
      <c r="H9" s="786">
        <f>TRUNC(E9*G9,2)</f>
        <v>2519.88</v>
      </c>
    </row>
    <row r="10" spans="1:8" ht="15">
      <c r="A10" s="782">
        <v>2</v>
      </c>
      <c r="B10" s="1528" t="s">
        <v>812</v>
      </c>
      <c r="C10" s="1529"/>
      <c r="D10" s="808">
        <v>150</v>
      </c>
      <c r="E10" s="797">
        <v>40</v>
      </c>
      <c r="F10" s="783">
        <v>0.6</v>
      </c>
      <c r="G10" s="787">
        <f>TRUNC($G$4*F10,2)</f>
        <v>629.97</v>
      </c>
      <c r="H10" s="788">
        <f>TRUNC(E10*G10,2)</f>
        <v>25198.799999999999</v>
      </c>
    </row>
    <row r="11" spans="1:8" ht="15">
      <c r="A11" s="782">
        <v>3</v>
      </c>
      <c r="B11" s="1528" t="s">
        <v>332</v>
      </c>
      <c r="C11" s="1529"/>
      <c r="D11" s="808">
        <v>45</v>
      </c>
      <c r="E11" s="797">
        <v>200</v>
      </c>
      <c r="F11" s="783">
        <v>0.6</v>
      </c>
      <c r="G11" s="787">
        <f t="shared" ref="G11:G21" si="0">TRUNC($G$4*F11,2)</f>
        <v>629.97</v>
      </c>
      <c r="H11" s="788">
        <f t="shared" ref="H11:H21" si="1">TRUNC(E11*G11,2)</f>
        <v>125994</v>
      </c>
    </row>
    <row r="12" spans="1:8" ht="15">
      <c r="A12" s="782">
        <v>4</v>
      </c>
      <c r="B12" s="1528" t="s">
        <v>814</v>
      </c>
      <c r="C12" s="1529"/>
      <c r="D12" s="808"/>
      <c r="E12" s="797">
        <v>200</v>
      </c>
      <c r="F12" s="783">
        <v>0.3</v>
      </c>
      <c r="G12" s="787">
        <f t="shared" ref="G12:G17" si="2">TRUNC($G$4*F12,2)</f>
        <v>314.98</v>
      </c>
      <c r="H12" s="788">
        <f t="shared" ref="H12:H17" si="3">TRUNC(E12*G12,2)</f>
        <v>62996</v>
      </c>
    </row>
    <row r="13" spans="1:8" ht="15">
      <c r="A13" s="782">
        <v>5</v>
      </c>
      <c r="B13" s="803" t="s">
        <v>816</v>
      </c>
      <c r="C13" s="804"/>
      <c r="D13" s="808"/>
      <c r="E13" s="797">
        <v>12</v>
      </c>
      <c r="F13" s="783">
        <v>0.6</v>
      </c>
      <c r="G13" s="787">
        <f t="shared" si="2"/>
        <v>629.97</v>
      </c>
      <c r="H13" s="788">
        <f t="shared" si="3"/>
        <v>7559.64</v>
      </c>
    </row>
    <row r="14" spans="1:8" ht="15">
      <c r="A14" s="782">
        <v>6</v>
      </c>
      <c r="B14" s="1528" t="s">
        <v>817</v>
      </c>
      <c r="C14" s="1529"/>
      <c r="D14" s="808">
        <v>9</v>
      </c>
      <c r="E14" s="797">
        <v>30</v>
      </c>
      <c r="F14" s="783">
        <v>0.5</v>
      </c>
      <c r="G14" s="787">
        <f t="shared" si="2"/>
        <v>524.97</v>
      </c>
      <c r="H14" s="788">
        <f t="shared" si="3"/>
        <v>15749.1</v>
      </c>
    </row>
    <row r="15" spans="1:8" ht="15">
      <c r="A15" s="782">
        <v>7</v>
      </c>
      <c r="B15" s="1528" t="s">
        <v>823</v>
      </c>
      <c r="C15" s="1529"/>
      <c r="D15" s="808">
        <v>9</v>
      </c>
      <c r="E15" s="797">
        <v>24</v>
      </c>
      <c r="F15" s="783">
        <v>0.3</v>
      </c>
      <c r="G15" s="787">
        <f t="shared" si="2"/>
        <v>314.98</v>
      </c>
      <c r="H15" s="788">
        <f t="shared" si="3"/>
        <v>7559.52</v>
      </c>
    </row>
    <row r="16" spans="1:8" ht="15">
      <c r="A16" s="782">
        <v>8</v>
      </c>
      <c r="B16" s="1528" t="s">
        <v>818</v>
      </c>
      <c r="C16" s="1529"/>
      <c r="D16" s="808">
        <v>100</v>
      </c>
      <c r="E16" s="797">
        <v>60</v>
      </c>
      <c r="F16" s="783">
        <v>0.5</v>
      </c>
      <c r="G16" s="787">
        <f t="shared" si="2"/>
        <v>524.97</v>
      </c>
      <c r="H16" s="788">
        <f t="shared" si="3"/>
        <v>31498.2</v>
      </c>
    </row>
    <row r="17" spans="1:8" ht="15">
      <c r="A17" s="782">
        <v>9</v>
      </c>
      <c r="B17" s="1528" t="s">
        <v>824</v>
      </c>
      <c r="C17" s="1529"/>
      <c r="D17" s="808"/>
      <c r="E17" s="797">
        <v>60</v>
      </c>
      <c r="F17" s="783">
        <v>0.3</v>
      </c>
      <c r="G17" s="787">
        <f t="shared" si="2"/>
        <v>314.98</v>
      </c>
      <c r="H17" s="788">
        <f t="shared" si="3"/>
        <v>18898.8</v>
      </c>
    </row>
    <row r="18" spans="1:8" ht="15">
      <c r="A18" s="782">
        <v>10</v>
      </c>
      <c r="B18" s="1528" t="s">
        <v>813</v>
      </c>
      <c r="C18" s="1529"/>
      <c r="D18" s="808">
        <v>45</v>
      </c>
      <c r="E18" s="797">
        <v>40</v>
      </c>
      <c r="F18" s="783">
        <v>0.4</v>
      </c>
      <c r="G18" s="787">
        <f t="shared" si="0"/>
        <v>419.98</v>
      </c>
      <c r="H18" s="788">
        <f t="shared" si="1"/>
        <v>16799.2</v>
      </c>
    </row>
    <row r="19" spans="1:8" ht="15">
      <c r="A19" s="782">
        <v>11</v>
      </c>
      <c r="B19" s="1528" t="s">
        <v>825</v>
      </c>
      <c r="C19" s="1529"/>
      <c r="D19" s="808">
        <v>45</v>
      </c>
      <c r="E19" s="797">
        <v>40</v>
      </c>
      <c r="F19" s="783">
        <v>0.3</v>
      </c>
      <c r="G19" s="787">
        <f t="shared" si="0"/>
        <v>314.98</v>
      </c>
      <c r="H19" s="788">
        <f t="shared" si="1"/>
        <v>12599.2</v>
      </c>
    </row>
    <row r="20" spans="1:8" ht="15">
      <c r="A20" s="782">
        <v>12</v>
      </c>
      <c r="B20" s="1528" t="s">
        <v>826</v>
      </c>
      <c r="C20" s="1529"/>
      <c r="D20" s="808">
        <v>130</v>
      </c>
      <c r="E20" s="797">
        <v>100</v>
      </c>
      <c r="F20" s="783">
        <v>0.6</v>
      </c>
      <c r="G20" s="787">
        <f t="shared" si="0"/>
        <v>629.97</v>
      </c>
      <c r="H20" s="788">
        <f t="shared" si="1"/>
        <v>62997</v>
      </c>
    </row>
    <row r="21" spans="1:8" ht="15">
      <c r="A21" s="782">
        <v>13</v>
      </c>
      <c r="B21" s="1528" t="s">
        <v>827</v>
      </c>
      <c r="C21" s="1529"/>
      <c r="D21" s="808"/>
      <c r="E21" s="797">
        <v>300</v>
      </c>
      <c r="F21" s="783">
        <v>0.05</v>
      </c>
      <c r="G21" s="787">
        <f t="shared" si="0"/>
        <v>52.49</v>
      </c>
      <c r="H21" s="788">
        <f t="shared" si="1"/>
        <v>15747</v>
      </c>
    </row>
    <row r="22" spans="1:8">
      <c r="A22" s="1545"/>
      <c r="B22" s="1546"/>
      <c r="C22" s="1546"/>
      <c r="D22" s="1546"/>
      <c r="E22" s="1546"/>
      <c r="F22" s="1546"/>
      <c r="G22" s="1546"/>
      <c r="H22" s="1547"/>
    </row>
    <row r="23" spans="1:8" ht="15.75" thickBot="1">
      <c r="A23" s="1548" t="s">
        <v>815</v>
      </c>
      <c r="B23" s="1549"/>
      <c r="C23" s="1549"/>
      <c r="D23" s="1549"/>
      <c r="E23" s="1549"/>
      <c r="F23" s="1549"/>
      <c r="G23" s="1550"/>
      <c r="H23" s="789">
        <f>TRUNC(SUM(H9:H21),2)</f>
        <v>406116.34</v>
      </c>
    </row>
    <row r="24" spans="1:8" ht="15.75" thickBot="1">
      <c r="A24" s="1558" t="s">
        <v>819</v>
      </c>
      <c r="B24" s="1559"/>
      <c r="C24" s="1559"/>
      <c r="D24" s="1559"/>
      <c r="E24" s="1559"/>
      <c r="F24" s="1559"/>
      <c r="G24" s="1560"/>
      <c r="H24" s="790">
        <f>TRUNC(H23,2)</f>
        <v>406116.34</v>
      </c>
    </row>
    <row r="25" spans="1:8" ht="13.5" thickBot="1">
      <c r="A25" s="1561"/>
      <c r="B25" s="1562"/>
      <c r="C25" s="1562"/>
      <c r="D25" s="1562"/>
      <c r="E25" s="1562"/>
      <c r="F25" s="1562"/>
      <c r="G25" s="1562"/>
      <c r="H25" s="1563"/>
    </row>
    <row r="26" spans="1:8" ht="13.5" thickBot="1">
      <c r="A26" s="1551"/>
      <c r="B26" s="1552"/>
      <c r="C26" s="1552"/>
      <c r="D26" s="1552"/>
      <c r="E26" s="1552"/>
      <c r="F26" s="1552"/>
      <c r="G26" s="1552"/>
      <c r="H26" s="1553"/>
    </row>
    <row r="27" spans="1:8" ht="15">
      <c r="A27" s="1554" t="s">
        <v>820</v>
      </c>
      <c r="B27" s="1555"/>
      <c r="C27" s="1555"/>
      <c r="D27" s="1555"/>
      <c r="E27" s="1555"/>
      <c r="F27" s="1555"/>
      <c r="G27" s="1555"/>
      <c r="H27" s="791">
        <f>H24</f>
        <v>406116.34</v>
      </c>
    </row>
    <row r="28" spans="1:8" ht="15">
      <c r="A28" s="1564" t="s">
        <v>1066</v>
      </c>
      <c r="B28" s="1565"/>
      <c r="C28" s="1565"/>
      <c r="D28" s="1565"/>
      <c r="E28" s="1565"/>
      <c r="F28" s="1565"/>
      <c r="G28" s="1060">
        <f>BDI!E24</f>
        <v>0.28103790406232654</v>
      </c>
      <c r="H28" s="792">
        <f>TRUNC(H27*G28,2)</f>
        <v>114134.08</v>
      </c>
    </row>
    <row r="29" spans="1:8" ht="15.75" thickBot="1">
      <c r="A29" s="1556" t="s">
        <v>821</v>
      </c>
      <c r="B29" s="1557"/>
      <c r="C29" s="1557"/>
      <c r="D29" s="1557"/>
      <c r="E29" s="1557"/>
      <c r="F29" s="1557"/>
      <c r="G29" s="1557"/>
      <c r="H29" s="793">
        <f>TRUNC(SUM(H27:H28),2)</f>
        <v>520250.42</v>
      </c>
    </row>
  </sheetData>
  <mergeCells count="29">
    <mergeCell ref="B12:C12"/>
    <mergeCell ref="B14:C14"/>
    <mergeCell ref="B15:C15"/>
    <mergeCell ref="B16:C16"/>
    <mergeCell ref="B17:C17"/>
    <mergeCell ref="A26:H26"/>
    <mergeCell ref="A27:G27"/>
    <mergeCell ref="A29:G29"/>
    <mergeCell ref="A24:G24"/>
    <mergeCell ref="A25:H25"/>
    <mergeCell ref="A28:F28"/>
    <mergeCell ref="B21:C21"/>
    <mergeCell ref="A22:H22"/>
    <mergeCell ref="A23:G23"/>
    <mergeCell ref="B18:C18"/>
    <mergeCell ref="B19:C19"/>
    <mergeCell ref="B20:C20"/>
    <mergeCell ref="B11:C11"/>
    <mergeCell ref="A1:H1"/>
    <mergeCell ref="A2:C2"/>
    <mergeCell ref="A3:C3"/>
    <mergeCell ref="A4:C4"/>
    <mergeCell ref="A5:H5"/>
    <mergeCell ref="B6:C6"/>
    <mergeCell ref="A7:H7"/>
    <mergeCell ref="B8:C8"/>
    <mergeCell ref="E8:H8"/>
    <mergeCell ref="B9:C9"/>
    <mergeCell ref="B10:C10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54"/>
  <sheetViews>
    <sheetView topLeftCell="C22" workbookViewId="0">
      <selection activeCell="R29" sqref="R29"/>
    </sheetView>
  </sheetViews>
  <sheetFormatPr defaultRowHeight="12.75"/>
  <cols>
    <col min="1" max="1" width="14" customWidth="1"/>
    <col min="2" max="2" width="9.7109375" customWidth="1"/>
    <col min="3" max="3" width="5.7109375" customWidth="1"/>
    <col min="4" max="4" width="6.7109375" customWidth="1"/>
    <col min="5" max="5" width="6" customWidth="1"/>
    <col min="6" max="6" width="8.28515625" customWidth="1"/>
    <col min="7" max="7" width="0" hidden="1" customWidth="1"/>
    <col min="8" max="8" width="11" customWidth="1"/>
    <col min="9" max="9" width="13.5703125" customWidth="1"/>
    <col min="10" max="10" width="6.5703125" customWidth="1"/>
    <col min="11" max="11" width="8.85546875" customWidth="1"/>
    <col min="12" max="12" width="6.28515625" customWidth="1"/>
    <col min="13" max="13" width="8.140625" customWidth="1"/>
    <col min="14" max="14" width="0" hidden="1" customWidth="1"/>
    <col min="15" max="15" width="12.5703125" customWidth="1"/>
    <col min="16" max="17" width="0" hidden="1" customWidth="1"/>
    <col min="18" max="18" width="12.42578125" customWidth="1"/>
    <col min="19" max="19" width="9.7109375" customWidth="1"/>
    <col min="20" max="20" width="6.5703125" customWidth="1"/>
    <col min="21" max="21" width="8.7109375" customWidth="1"/>
    <col min="22" max="23" width="8.85546875" customWidth="1"/>
    <col min="24" max="24" width="8.140625" customWidth="1"/>
    <col min="25" max="25" width="9.28515625" customWidth="1"/>
    <col min="26" max="26" width="16.7109375" customWidth="1"/>
    <col min="27" max="27" width="19.5703125" customWidth="1"/>
  </cols>
  <sheetData>
    <row r="1" spans="1:27" ht="12.75" customHeight="1">
      <c r="A1" s="504" t="s">
        <v>724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8"/>
    </row>
    <row r="2" spans="1:27" ht="12.75" customHeight="1" thickBot="1">
      <c r="A2" s="505" t="s">
        <v>725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4"/>
      <c r="Q2" s="564"/>
      <c r="R2" s="564"/>
      <c r="S2" s="564"/>
      <c r="T2" s="564"/>
      <c r="U2" s="564"/>
      <c r="V2" s="564"/>
      <c r="W2" s="564"/>
      <c r="X2" s="564"/>
      <c r="Y2" s="564"/>
      <c r="Z2" s="564"/>
      <c r="AA2" s="566"/>
    </row>
    <row r="3" spans="1:27" ht="13.5" customHeight="1">
      <c r="A3" s="1612" t="s">
        <v>562</v>
      </c>
      <c r="B3" s="1613"/>
      <c r="C3" s="1613"/>
      <c r="D3" s="1613"/>
      <c r="E3" s="1613"/>
      <c r="F3" s="1613"/>
      <c r="G3" s="1613"/>
      <c r="H3" s="1613"/>
      <c r="I3" s="1613"/>
      <c r="J3" s="1613"/>
      <c r="K3" s="1613"/>
      <c r="L3" s="1613"/>
      <c r="M3" s="1613"/>
      <c r="N3" s="1613"/>
      <c r="O3" s="1613"/>
      <c r="P3" s="1613"/>
      <c r="Q3" s="1613"/>
      <c r="R3" s="1613"/>
      <c r="S3" s="1613"/>
      <c r="T3" s="1613"/>
      <c r="U3" s="1613"/>
      <c r="V3" s="1613"/>
      <c r="W3" s="1613"/>
      <c r="X3" s="1613"/>
      <c r="Y3" s="1613"/>
      <c r="Z3" s="1613"/>
      <c r="AA3" s="1614"/>
    </row>
    <row r="4" spans="1:27" ht="12.75" customHeight="1">
      <c r="A4" s="1615"/>
      <c r="B4" s="1616"/>
      <c r="C4" s="1616"/>
      <c r="D4" s="1616"/>
      <c r="E4" s="1616"/>
      <c r="F4" s="1616"/>
      <c r="G4" s="1616"/>
      <c r="H4" s="1616"/>
      <c r="I4" s="1616"/>
      <c r="J4" s="1616"/>
      <c r="K4" s="1616"/>
      <c r="L4" s="1616"/>
      <c r="M4" s="1616"/>
      <c r="N4" s="1616"/>
      <c r="O4" s="1616"/>
      <c r="P4" s="1616"/>
      <c r="Q4" s="1616"/>
      <c r="R4" s="1616"/>
      <c r="S4" s="1616"/>
      <c r="T4" s="1616"/>
      <c r="U4" s="1616"/>
      <c r="V4" s="1616"/>
      <c r="W4" s="1616"/>
      <c r="X4" s="1616"/>
      <c r="Y4" s="1616"/>
      <c r="Z4" s="1616"/>
      <c r="AA4" s="1617"/>
    </row>
    <row r="5" spans="1:27">
      <c r="A5" s="1618" t="s">
        <v>563</v>
      </c>
      <c r="B5" s="1619" t="s">
        <v>563</v>
      </c>
      <c r="C5" s="1619"/>
      <c r="D5" s="1619"/>
      <c r="E5" s="1619"/>
      <c r="F5" s="1619"/>
      <c r="G5" s="1619"/>
      <c r="H5" s="1619"/>
      <c r="I5" s="1619" t="s">
        <v>564</v>
      </c>
      <c r="J5" s="1619"/>
      <c r="K5" s="1619"/>
      <c r="L5" s="1619"/>
      <c r="M5" s="1619" t="s">
        <v>565</v>
      </c>
      <c r="N5" s="1619"/>
      <c r="O5" s="1619"/>
      <c r="P5" s="1619"/>
      <c r="Q5" s="1619"/>
      <c r="R5" s="1619"/>
      <c r="S5" s="1619"/>
      <c r="T5" s="1619"/>
      <c r="U5" s="1619"/>
      <c r="V5" s="1619"/>
      <c r="W5" s="1619"/>
      <c r="X5" s="1619"/>
      <c r="Y5" s="1619"/>
      <c r="Z5" s="1619"/>
      <c r="AA5" s="1620"/>
    </row>
    <row r="6" spans="1:27">
      <c r="A6" s="1618"/>
      <c r="B6" s="1619" t="s">
        <v>566</v>
      </c>
      <c r="C6" s="1619"/>
      <c r="D6" s="1619" t="s">
        <v>567</v>
      </c>
      <c r="E6" s="1619"/>
      <c r="F6" s="1621" t="s">
        <v>568</v>
      </c>
      <c r="G6" s="622"/>
      <c r="H6" s="1623" t="s">
        <v>119</v>
      </c>
      <c r="I6" s="1619" t="s">
        <v>566</v>
      </c>
      <c r="J6" s="1619"/>
      <c r="K6" s="1619" t="s">
        <v>567</v>
      </c>
      <c r="L6" s="1619"/>
      <c r="M6" s="1624" t="s">
        <v>283</v>
      </c>
      <c r="N6" s="623"/>
      <c r="O6" s="1625" t="s">
        <v>569</v>
      </c>
      <c r="P6" s="1625"/>
      <c r="Q6" s="1625"/>
      <c r="R6" s="1625"/>
      <c r="S6" s="624" t="s">
        <v>570</v>
      </c>
      <c r="T6" s="624" t="s">
        <v>571</v>
      </c>
      <c r="U6" s="624" t="s">
        <v>572</v>
      </c>
      <c r="V6" s="624" t="s">
        <v>573</v>
      </c>
      <c r="W6" s="624" t="s">
        <v>574</v>
      </c>
      <c r="X6" s="624" t="s">
        <v>575</v>
      </c>
      <c r="Y6" s="1621" t="s">
        <v>576</v>
      </c>
      <c r="Z6" s="1621" t="s">
        <v>32</v>
      </c>
      <c r="AA6" s="1622" t="s">
        <v>565</v>
      </c>
    </row>
    <row r="7" spans="1:27">
      <c r="A7" s="1618"/>
      <c r="B7" s="623" t="s">
        <v>577</v>
      </c>
      <c r="C7" s="623" t="s">
        <v>108</v>
      </c>
      <c r="D7" s="623" t="s">
        <v>577</v>
      </c>
      <c r="E7" s="623" t="s">
        <v>108</v>
      </c>
      <c r="F7" s="1621"/>
      <c r="G7" s="622"/>
      <c r="H7" s="1623"/>
      <c r="I7" s="623" t="s">
        <v>577</v>
      </c>
      <c r="J7" s="623" t="s">
        <v>108</v>
      </c>
      <c r="K7" s="623" t="s">
        <v>577</v>
      </c>
      <c r="L7" s="623" t="s">
        <v>108</v>
      </c>
      <c r="M7" s="1386"/>
      <c r="N7" s="623"/>
      <c r="O7" s="625" t="s">
        <v>578</v>
      </c>
      <c r="P7" s="625"/>
      <c r="Q7" s="625"/>
      <c r="R7" s="625" t="s">
        <v>579</v>
      </c>
      <c r="S7" s="624" t="s">
        <v>110</v>
      </c>
      <c r="T7" s="624" t="s">
        <v>110</v>
      </c>
      <c r="U7" s="624" t="s">
        <v>110</v>
      </c>
      <c r="V7" s="624" t="s">
        <v>110</v>
      </c>
      <c r="W7" s="624" t="s">
        <v>110</v>
      </c>
      <c r="X7" s="624" t="s">
        <v>110</v>
      </c>
      <c r="Y7" s="1621"/>
      <c r="Z7" s="1621"/>
      <c r="AA7" s="1622"/>
    </row>
    <row r="8" spans="1:27">
      <c r="A8" s="934"/>
      <c r="B8" s="935"/>
      <c r="C8" s="935"/>
      <c r="D8" s="935"/>
      <c r="E8" s="935"/>
      <c r="F8" s="936"/>
      <c r="G8" s="936"/>
      <c r="H8" s="938"/>
      <c r="I8" s="935"/>
      <c r="J8" s="935"/>
      <c r="K8" s="935"/>
      <c r="L8" s="935"/>
      <c r="M8" s="933"/>
      <c r="N8" s="935"/>
      <c r="O8" s="939"/>
      <c r="P8" s="939"/>
      <c r="Q8" s="939"/>
      <c r="R8" s="939"/>
      <c r="S8" s="624"/>
      <c r="T8" s="624"/>
      <c r="U8" s="624"/>
      <c r="V8" s="624"/>
      <c r="W8" s="624"/>
      <c r="X8" s="624"/>
      <c r="Y8" s="936"/>
      <c r="Z8" s="936"/>
      <c r="AA8" s="937"/>
    </row>
    <row r="9" spans="1:27">
      <c r="A9" s="626" t="s">
        <v>583</v>
      </c>
      <c r="B9" s="627">
        <v>5</v>
      </c>
      <c r="C9" s="628"/>
      <c r="D9" s="627">
        <v>15</v>
      </c>
      <c r="E9" s="629"/>
      <c r="F9" s="565" t="s">
        <v>581</v>
      </c>
      <c r="G9" s="630">
        <v>2071.3000000000002</v>
      </c>
      <c r="H9" s="631">
        <f>O9</f>
        <v>44.62</v>
      </c>
      <c r="I9" s="627">
        <v>0</v>
      </c>
      <c r="J9" s="628"/>
      <c r="K9" s="627">
        <v>28</v>
      </c>
      <c r="L9" s="628"/>
      <c r="M9" s="632">
        <f>O9/H9</f>
        <v>1</v>
      </c>
      <c r="N9" s="633">
        <v>7.0092100543855098</v>
      </c>
      <c r="O9" s="639">
        <v>44.62</v>
      </c>
      <c r="P9" s="634">
        <f>((D9*20)+E9)+((B9*20)+C9)</f>
        <v>400</v>
      </c>
      <c r="Q9" s="634">
        <f>((I9*20)+J9)+((K9*20)+L9)</f>
        <v>560</v>
      </c>
      <c r="R9" s="635">
        <f>O9/1.2</f>
        <v>37.18333333333333</v>
      </c>
      <c r="S9" s="636" t="s">
        <v>301</v>
      </c>
      <c r="T9" s="636" t="s">
        <v>301</v>
      </c>
      <c r="U9" s="636" t="s">
        <v>301</v>
      </c>
      <c r="V9" s="636" t="s">
        <v>301</v>
      </c>
      <c r="W9" s="636" t="s">
        <v>301</v>
      </c>
      <c r="X9" s="636" t="s">
        <v>301</v>
      </c>
      <c r="Y9" s="629">
        <v>50</v>
      </c>
      <c r="Z9" s="565" t="s">
        <v>584</v>
      </c>
      <c r="AA9" s="638" t="s">
        <v>585</v>
      </c>
    </row>
    <row r="10" spans="1:27">
      <c r="A10" s="626" t="s">
        <v>902</v>
      </c>
      <c r="B10" s="627">
        <v>0</v>
      </c>
      <c r="C10" s="628"/>
      <c r="D10" s="627">
        <v>20</v>
      </c>
      <c r="E10" s="629"/>
      <c r="F10" s="565" t="s">
        <v>581</v>
      </c>
      <c r="G10" s="630">
        <v>39220</v>
      </c>
      <c r="H10" s="631">
        <f>O10</f>
        <v>2166.3047999999999</v>
      </c>
      <c r="I10" s="627">
        <v>20</v>
      </c>
      <c r="J10" s="628"/>
      <c r="K10" s="627">
        <v>25</v>
      </c>
      <c r="L10" s="628"/>
      <c r="M10" s="632">
        <f>O10/H10</f>
        <v>1</v>
      </c>
      <c r="N10" s="633">
        <v>10.0092100543855</v>
      </c>
      <c r="O10" s="631">
        <f>R10*1.2</f>
        <v>2166.3047999999999</v>
      </c>
      <c r="P10" s="634">
        <f>((D10*20)+E10)+((B10*20)+C10)</f>
        <v>400</v>
      </c>
      <c r="Q10" s="634">
        <f>((I10*20)+J10)+((K10*20)+L10)</f>
        <v>900</v>
      </c>
      <c r="R10" s="635">
        <v>1805.2539999999999</v>
      </c>
      <c r="S10" s="636">
        <v>0</v>
      </c>
      <c r="T10" s="637">
        <v>0</v>
      </c>
      <c r="U10" s="637" t="s">
        <v>301</v>
      </c>
      <c r="V10" s="636" t="s">
        <v>301</v>
      </c>
      <c r="W10" s="636" t="s">
        <v>301</v>
      </c>
      <c r="X10" s="636" t="s">
        <v>301</v>
      </c>
      <c r="Y10" s="629" t="s">
        <v>301</v>
      </c>
      <c r="Z10" s="565" t="s">
        <v>633</v>
      </c>
      <c r="AA10" s="638" t="s">
        <v>773</v>
      </c>
    </row>
    <row r="11" spans="1:27">
      <c r="A11" s="626" t="s">
        <v>580</v>
      </c>
      <c r="B11" s="627">
        <v>20</v>
      </c>
      <c r="C11" s="628"/>
      <c r="D11" s="627">
        <v>25</v>
      </c>
      <c r="E11" s="629"/>
      <c r="F11" s="565" t="s">
        <v>581</v>
      </c>
      <c r="G11" s="630">
        <v>39220</v>
      </c>
      <c r="H11" s="631">
        <f t="shared" ref="H11:H21" si="0">O11</f>
        <v>343.86</v>
      </c>
      <c r="I11" s="627">
        <v>20</v>
      </c>
      <c r="J11" s="628"/>
      <c r="K11" s="627">
        <v>25</v>
      </c>
      <c r="L11" s="628"/>
      <c r="M11" s="632">
        <f t="shared" ref="M11:M21" si="1">O11/H11</f>
        <v>1</v>
      </c>
      <c r="N11" s="633">
        <v>10.0092100543855</v>
      </c>
      <c r="O11" s="631">
        <f>R11*1.2</f>
        <v>343.86</v>
      </c>
      <c r="P11" s="634">
        <f t="shared" ref="P11:P21" si="2">((D11*20)+E11)+((B11*20)+C11)</f>
        <v>900</v>
      </c>
      <c r="Q11" s="634">
        <f t="shared" ref="Q11:Q21" si="3">((I11*20)+J11)+((K11*20)+L11)</f>
        <v>900</v>
      </c>
      <c r="R11" s="635">
        <v>286.55</v>
      </c>
      <c r="S11" s="636">
        <v>0</v>
      </c>
      <c r="T11" s="637">
        <v>0</v>
      </c>
      <c r="U11" s="637" t="s">
        <v>301</v>
      </c>
      <c r="V11" s="636" t="s">
        <v>301</v>
      </c>
      <c r="W11" s="636" t="s">
        <v>301</v>
      </c>
      <c r="X11" s="636" t="s">
        <v>301</v>
      </c>
      <c r="Y11" s="629" t="s">
        <v>301</v>
      </c>
      <c r="Z11" s="565" t="s">
        <v>633</v>
      </c>
      <c r="AA11" s="638" t="s">
        <v>773</v>
      </c>
    </row>
    <row r="12" spans="1:27">
      <c r="A12" s="626" t="s">
        <v>583</v>
      </c>
      <c r="B12" s="627">
        <v>25</v>
      </c>
      <c r="C12" s="628"/>
      <c r="D12" s="627">
        <v>28</v>
      </c>
      <c r="E12" s="629"/>
      <c r="F12" s="565" t="s">
        <v>581</v>
      </c>
      <c r="G12" s="630">
        <v>2071.3000000000002</v>
      </c>
      <c r="H12" s="631">
        <f t="shared" si="0"/>
        <v>0.48</v>
      </c>
      <c r="I12" s="627">
        <v>25</v>
      </c>
      <c r="J12" s="628"/>
      <c r="K12" s="627">
        <v>28</v>
      </c>
      <c r="L12" s="628"/>
      <c r="M12" s="632">
        <f t="shared" si="1"/>
        <v>1</v>
      </c>
      <c r="N12" s="633">
        <v>7.0092100543855098</v>
      </c>
      <c r="O12" s="639">
        <v>0.48</v>
      </c>
      <c r="P12" s="634">
        <f t="shared" si="2"/>
        <v>1060</v>
      </c>
      <c r="Q12" s="634">
        <f t="shared" si="3"/>
        <v>1060</v>
      </c>
      <c r="R12" s="635">
        <f>O12/1.2</f>
        <v>0.4</v>
      </c>
      <c r="S12" s="636" t="s">
        <v>301</v>
      </c>
      <c r="T12" s="636" t="s">
        <v>301</v>
      </c>
      <c r="U12" s="636" t="s">
        <v>301</v>
      </c>
      <c r="V12" s="636" t="s">
        <v>301</v>
      </c>
      <c r="W12" s="636" t="s">
        <v>301</v>
      </c>
      <c r="X12" s="636" t="s">
        <v>301</v>
      </c>
      <c r="Y12" s="629">
        <v>50</v>
      </c>
      <c r="Z12" s="565" t="s">
        <v>584</v>
      </c>
      <c r="AA12" s="638" t="s">
        <v>585</v>
      </c>
    </row>
    <row r="13" spans="1:27">
      <c r="A13" s="626" t="s">
        <v>586</v>
      </c>
      <c r="B13" s="627">
        <v>25</v>
      </c>
      <c r="C13" s="628"/>
      <c r="D13" s="627">
        <v>45</v>
      </c>
      <c r="E13" s="629"/>
      <c r="F13" s="565" t="s">
        <v>581</v>
      </c>
      <c r="G13" s="630">
        <v>39220</v>
      </c>
      <c r="H13" s="631">
        <f t="shared" si="0"/>
        <v>3355.9859999999994</v>
      </c>
      <c r="I13" s="627">
        <v>25</v>
      </c>
      <c r="J13" s="628"/>
      <c r="K13" s="627">
        <v>45</v>
      </c>
      <c r="L13" s="628"/>
      <c r="M13" s="632">
        <f t="shared" si="1"/>
        <v>1</v>
      </c>
      <c r="N13" s="633">
        <v>10.0092100543855</v>
      </c>
      <c r="O13" s="631">
        <f>R13*1.2</f>
        <v>3355.9859999999994</v>
      </c>
      <c r="P13" s="634">
        <f t="shared" si="2"/>
        <v>1400</v>
      </c>
      <c r="Q13" s="634">
        <f t="shared" si="3"/>
        <v>1400</v>
      </c>
      <c r="R13" s="635">
        <v>2796.6549999999997</v>
      </c>
      <c r="S13" s="636">
        <v>0</v>
      </c>
      <c r="T13" s="637">
        <v>0</v>
      </c>
      <c r="U13" s="637" t="s">
        <v>301</v>
      </c>
      <c r="V13" s="636" t="s">
        <v>301</v>
      </c>
      <c r="W13" s="636" t="s">
        <v>301</v>
      </c>
      <c r="X13" s="636" t="s">
        <v>301</v>
      </c>
      <c r="Y13" s="629" t="s">
        <v>301</v>
      </c>
      <c r="Z13" s="565" t="s">
        <v>633</v>
      </c>
      <c r="AA13" s="638" t="s">
        <v>772</v>
      </c>
    </row>
    <row r="14" spans="1:27">
      <c r="A14" s="626" t="s">
        <v>583</v>
      </c>
      <c r="B14" s="627">
        <v>45</v>
      </c>
      <c r="C14" s="628"/>
      <c r="D14" s="627">
        <v>49</v>
      </c>
      <c r="E14" s="629"/>
      <c r="F14" s="565" t="s">
        <v>581</v>
      </c>
      <c r="G14" s="630">
        <v>2071.3000000000002</v>
      </c>
      <c r="H14" s="631">
        <f t="shared" si="0"/>
        <v>5.4</v>
      </c>
      <c r="I14" s="627">
        <v>45</v>
      </c>
      <c r="J14" s="628"/>
      <c r="K14" s="627">
        <v>49</v>
      </c>
      <c r="L14" s="628"/>
      <c r="M14" s="632">
        <f t="shared" si="1"/>
        <v>1</v>
      </c>
      <c r="N14" s="633">
        <v>7.0092100543855098</v>
      </c>
      <c r="O14" s="639">
        <v>5.4</v>
      </c>
      <c r="P14" s="634">
        <f t="shared" si="2"/>
        <v>1880</v>
      </c>
      <c r="Q14" s="634">
        <f t="shared" si="3"/>
        <v>1880</v>
      </c>
      <c r="R14" s="635">
        <f>O14/1.2</f>
        <v>4.5000000000000009</v>
      </c>
      <c r="S14" s="636" t="s">
        <v>301</v>
      </c>
      <c r="T14" s="636" t="s">
        <v>301</v>
      </c>
      <c r="U14" s="636" t="s">
        <v>301</v>
      </c>
      <c r="V14" s="636" t="s">
        <v>301</v>
      </c>
      <c r="W14" s="636" t="s">
        <v>301</v>
      </c>
      <c r="X14" s="636" t="s">
        <v>301</v>
      </c>
      <c r="Y14" s="629">
        <v>50</v>
      </c>
      <c r="Z14" s="565" t="s">
        <v>584</v>
      </c>
      <c r="AA14" s="638" t="s">
        <v>585</v>
      </c>
    </row>
    <row r="15" spans="1:27">
      <c r="A15" s="626" t="s">
        <v>587</v>
      </c>
      <c r="B15" s="627">
        <v>45</v>
      </c>
      <c r="C15" s="628"/>
      <c r="D15" s="627">
        <v>118</v>
      </c>
      <c r="E15" s="629"/>
      <c r="F15" s="565" t="s">
        <v>581</v>
      </c>
      <c r="G15" s="630">
        <v>39220</v>
      </c>
      <c r="H15" s="631">
        <f t="shared" si="0"/>
        <v>29824.280399999996</v>
      </c>
      <c r="I15" s="627">
        <v>45</v>
      </c>
      <c r="J15" s="628"/>
      <c r="K15" s="627">
        <v>118</v>
      </c>
      <c r="L15" s="628"/>
      <c r="M15" s="632">
        <f t="shared" si="1"/>
        <v>1</v>
      </c>
      <c r="N15" s="633">
        <v>10.0092100543855</v>
      </c>
      <c r="O15" s="631">
        <f>R15*1.2</f>
        <v>29824.280399999996</v>
      </c>
      <c r="P15" s="634">
        <f t="shared" si="2"/>
        <v>3260</v>
      </c>
      <c r="Q15" s="634">
        <f t="shared" si="3"/>
        <v>3260</v>
      </c>
      <c r="R15" s="635">
        <v>24853.566999999999</v>
      </c>
      <c r="S15" s="636">
        <v>0</v>
      </c>
      <c r="T15" s="637">
        <v>0</v>
      </c>
      <c r="U15" s="637" t="s">
        <v>301</v>
      </c>
      <c r="V15" s="636" t="s">
        <v>301</v>
      </c>
      <c r="W15" s="636" t="s">
        <v>301</v>
      </c>
      <c r="X15" s="636" t="s">
        <v>301</v>
      </c>
      <c r="Y15" s="629" t="s">
        <v>301</v>
      </c>
      <c r="Z15" s="565" t="s">
        <v>582</v>
      </c>
      <c r="AA15" s="638" t="s">
        <v>772</v>
      </c>
    </row>
    <row r="16" spans="1:27">
      <c r="A16" s="626" t="s">
        <v>583</v>
      </c>
      <c r="B16" s="627">
        <v>118</v>
      </c>
      <c r="C16" s="628"/>
      <c r="D16" s="627">
        <v>120</v>
      </c>
      <c r="E16" s="629"/>
      <c r="F16" s="565" t="s">
        <v>581</v>
      </c>
      <c r="G16" s="630">
        <v>2071.3000000000002</v>
      </c>
      <c r="H16" s="631">
        <f t="shared" si="0"/>
        <v>1.734</v>
      </c>
      <c r="I16" s="627">
        <v>118</v>
      </c>
      <c r="J16" s="628"/>
      <c r="K16" s="627">
        <v>120</v>
      </c>
      <c r="L16" s="628"/>
      <c r="M16" s="632">
        <f t="shared" si="1"/>
        <v>1</v>
      </c>
      <c r="N16" s="633">
        <v>7.0092100543855098</v>
      </c>
      <c r="O16" s="639">
        <v>1.734</v>
      </c>
      <c r="P16" s="634">
        <f t="shared" si="2"/>
        <v>4760</v>
      </c>
      <c r="Q16" s="634">
        <f t="shared" si="3"/>
        <v>4760</v>
      </c>
      <c r="R16" s="635">
        <f>O16/1.2</f>
        <v>1.4450000000000001</v>
      </c>
      <c r="S16" s="636" t="s">
        <v>301</v>
      </c>
      <c r="T16" s="636" t="s">
        <v>301</v>
      </c>
      <c r="U16" s="636" t="s">
        <v>301</v>
      </c>
      <c r="V16" s="636" t="s">
        <v>301</v>
      </c>
      <c r="W16" s="636" t="s">
        <v>301</v>
      </c>
      <c r="X16" s="636" t="s">
        <v>301</v>
      </c>
      <c r="Y16" s="629">
        <v>50</v>
      </c>
      <c r="Z16" s="565" t="s">
        <v>584</v>
      </c>
      <c r="AA16" s="638" t="s">
        <v>585</v>
      </c>
    </row>
    <row r="17" spans="1:27">
      <c r="A17" s="626" t="s">
        <v>588</v>
      </c>
      <c r="B17" s="627">
        <v>118</v>
      </c>
      <c r="C17" s="628"/>
      <c r="D17" s="627">
        <v>127</v>
      </c>
      <c r="E17" s="629"/>
      <c r="F17" s="565" t="s">
        <v>581</v>
      </c>
      <c r="G17" s="630">
        <v>39220</v>
      </c>
      <c r="H17" s="631">
        <f t="shared" si="0"/>
        <v>3223.6704000000004</v>
      </c>
      <c r="I17" s="627">
        <v>118</v>
      </c>
      <c r="J17" s="628"/>
      <c r="K17" s="627">
        <v>127</v>
      </c>
      <c r="L17" s="628"/>
      <c r="M17" s="632">
        <f t="shared" si="1"/>
        <v>1</v>
      </c>
      <c r="N17" s="633">
        <v>10.0092100543855</v>
      </c>
      <c r="O17" s="631">
        <f>R17*1.2</f>
        <v>3223.6704000000004</v>
      </c>
      <c r="P17" s="634">
        <f t="shared" si="2"/>
        <v>4900</v>
      </c>
      <c r="Q17" s="634">
        <f t="shared" si="3"/>
        <v>4900</v>
      </c>
      <c r="R17" s="639">
        <v>2686.3920000000003</v>
      </c>
      <c r="S17" s="636">
        <v>0</v>
      </c>
      <c r="T17" s="637">
        <v>0</v>
      </c>
      <c r="U17" s="637" t="s">
        <v>301</v>
      </c>
      <c r="V17" s="636" t="s">
        <v>301</v>
      </c>
      <c r="W17" s="636" t="s">
        <v>301</v>
      </c>
      <c r="X17" s="636" t="s">
        <v>301</v>
      </c>
      <c r="Y17" s="629" t="s">
        <v>301</v>
      </c>
      <c r="Z17" s="565" t="s">
        <v>633</v>
      </c>
      <c r="AA17" s="638" t="s">
        <v>772</v>
      </c>
    </row>
    <row r="18" spans="1:27">
      <c r="A18" s="626" t="s">
        <v>583</v>
      </c>
      <c r="B18" s="627">
        <v>151</v>
      </c>
      <c r="C18" s="628"/>
      <c r="D18" s="627">
        <v>153</v>
      </c>
      <c r="E18" s="629"/>
      <c r="F18" s="565" t="s">
        <v>581</v>
      </c>
      <c r="G18" s="630">
        <v>2071.3000000000002</v>
      </c>
      <c r="H18" s="631">
        <f t="shared" si="0"/>
        <v>28.8</v>
      </c>
      <c r="I18" s="627">
        <v>151</v>
      </c>
      <c r="J18" s="628"/>
      <c r="K18" s="627">
        <v>153</v>
      </c>
      <c r="L18" s="628"/>
      <c r="M18" s="632">
        <f t="shared" si="1"/>
        <v>1</v>
      </c>
      <c r="N18" s="633">
        <v>7.0092100543855098</v>
      </c>
      <c r="O18" s="639">
        <v>28.8</v>
      </c>
      <c r="P18" s="634">
        <f t="shared" si="2"/>
        <v>6080</v>
      </c>
      <c r="Q18" s="634">
        <f t="shared" si="3"/>
        <v>6080</v>
      </c>
      <c r="R18" s="635">
        <f>O18/1.2</f>
        <v>24</v>
      </c>
      <c r="S18" s="636" t="s">
        <v>301</v>
      </c>
      <c r="T18" s="636" t="s">
        <v>301</v>
      </c>
      <c r="U18" s="636" t="s">
        <v>301</v>
      </c>
      <c r="V18" s="636" t="s">
        <v>301</v>
      </c>
      <c r="W18" s="636" t="s">
        <v>301</v>
      </c>
      <c r="X18" s="636" t="s">
        <v>301</v>
      </c>
      <c r="Y18" s="629">
        <v>50</v>
      </c>
      <c r="Z18" s="565" t="s">
        <v>584</v>
      </c>
      <c r="AA18" s="638" t="s">
        <v>585</v>
      </c>
    </row>
    <row r="19" spans="1:27">
      <c r="A19" s="626" t="s">
        <v>583</v>
      </c>
      <c r="B19" s="627">
        <v>173</v>
      </c>
      <c r="C19" s="628"/>
      <c r="D19" s="627">
        <v>175</v>
      </c>
      <c r="E19" s="629"/>
      <c r="F19" s="565" t="s">
        <v>581</v>
      </c>
      <c r="G19" s="630">
        <v>2071.3000000000002</v>
      </c>
      <c r="H19" s="631">
        <f t="shared" si="0"/>
        <v>0.48</v>
      </c>
      <c r="I19" s="627">
        <v>173</v>
      </c>
      <c r="J19" s="628"/>
      <c r="K19" s="627">
        <v>175</v>
      </c>
      <c r="L19" s="628"/>
      <c r="M19" s="632">
        <f t="shared" si="1"/>
        <v>1</v>
      </c>
      <c r="N19" s="633">
        <v>7.0092100543855098</v>
      </c>
      <c r="O19" s="639">
        <v>0.48</v>
      </c>
      <c r="P19" s="634">
        <f t="shared" si="2"/>
        <v>6960</v>
      </c>
      <c r="Q19" s="634">
        <f t="shared" si="3"/>
        <v>6960</v>
      </c>
      <c r="R19" s="635">
        <f>O19/1.2</f>
        <v>0.4</v>
      </c>
      <c r="S19" s="636" t="s">
        <v>301</v>
      </c>
      <c r="T19" s="636" t="s">
        <v>301</v>
      </c>
      <c r="U19" s="636" t="s">
        <v>301</v>
      </c>
      <c r="V19" s="636" t="s">
        <v>301</v>
      </c>
      <c r="W19" s="636" t="s">
        <v>301</v>
      </c>
      <c r="X19" s="636" t="s">
        <v>301</v>
      </c>
      <c r="Y19" s="629">
        <v>50</v>
      </c>
      <c r="Z19" s="565" t="s">
        <v>584</v>
      </c>
      <c r="AA19" s="638" t="s">
        <v>585</v>
      </c>
    </row>
    <row r="20" spans="1:27">
      <c r="A20" s="626" t="s">
        <v>583</v>
      </c>
      <c r="B20" s="627">
        <v>139</v>
      </c>
      <c r="C20" s="628"/>
      <c r="D20" s="627">
        <v>175</v>
      </c>
      <c r="E20" s="640">
        <v>10</v>
      </c>
      <c r="F20" s="565" t="s">
        <v>581</v>
      </c>
      <c r="G20" s="630">
        <v>39220</v>
      </c>
      <c r="H20" s="631">
        <f t="shared" si="0"/>
        <v>2466.2479999999996</v>
      </c>
      <c r="I20" s="627">
        <v>127</v>
      </c>
      <c r="J20" s="628"/>
      <c r="K20" s="627">
        <v>130</v>
      </c>
      <c r="L20" s="628"/>
      <c r="M20" s="632">
        <f t="shared" si="1"/>
        <v>1</v>
      </c>
      <c r="N20" s="633">
        <v>10.0092100543855</v>
      </c>
      <c r="O20" s="631">
        <f>2495.528-O19-O18</f>
        <v>2466.2479999999996</v>
      </c>
      <c r="P20" s="634">
        <f t="shared" si="2"/>
        <v>6290</v>
      </c>
      <c r="Q20" s="634">
        <f t="shared" si="3"/>
        <v>5140</v>
      </c>
      <c r="R20" s="635">
        <f>O20/1.2</f>
        <v>2055.2066666666665</v>
      </c>
      <c r="S20" s="636">
        <v>365</v>
      </c>
      <c r="T20" s="636">
        <v>0</v>
      </c>
      <c r="U20" s="636">
        <v>180</v>
      </c>
      <c r="V20" s="637">
        <v>60</v>
      </c>
      <c r="W20" s="637" t="s">
        <v>301</v>
      </c>
      <c r="X20" s="637" t="s">
        <v>301</v>
      </c>
      <c r="Y20" s="629">
        <f>S20+T20+U20+V20/2</f>
        <v>575</v>
      </c>
      <c r="Z20" s="565" t="s">
        <v>589</v>
      </c>
      <c r="AA20" s="638" t="s">
        <v>590</v>
      </c>
    </row>
    <row r="21" spans="1:27">
      <c r="A21" s="626" t="s">
        <v>771</v>
      </c>
      <c r="B21" s="627">
        <v>70</v>
      </c>
      <c r="C21" s="628"/>
      <c r="D21" s="627">
        <v>99</v>
      </c>
      <c r="E21" s="629"/>
      <c r="F21" s="565" t="s">
        <v>581</v>
      </c>
      <c r="G21" s="630">
        <v>1361.7</v>
      </c>
      <c r="H21" s="631">
        <f t="shared" si="0"/>
        <v>9608.0820000000003</v>
      </c>
      <c r="I21" s="627">
        <v>132</v>
      </c>
      <c r="J21" s="628">
        <v>2.85</v>
      </c>
      <c r="K21" s="627">
        <v>143</v>
      </c>
      <c r="L21" s="628">
        <v>0</v>
      </c>
      <c r="M21" s="632">
        <f t="shared" si="1"/>
        <v>1</v>
      </c>
      <c r="N21" s="633">
        <v>14.0092100543855</v>
      </c>
      <c r="O21" s="631">
        <f>R21*1.2</f>
        <v>9608.0820000000003</v>
      </c>
      <c r="P21" s="634">
        <f t="shared" si="2"/>
        <v>3380</v>
      </c>
      <c r="Q21" s="634">
        <f t="shared" si="3"/>
        <v>5502.85</v>
      </c>
      <c r="R21" s="635">
        <v>8006.7350000000006</v>
      </c>
      <c r="S21" s="636">
        <v>100</v>
      </c>
      <c r="T21" s="636">
        <v>534</v>
      </c>
      <c r="U21" s="636">
        <v>952.85</v>
      </c>
      <c r="V21" s="636">
        <v>217.15</v>
      </c>
      <c r="W21" s="637" t="s">
        <v>301</v>
      </c>
      <c r="X21" s="637" t="s">
        <v>301</v>
      </c>
      <c r="Y21" s="629">
        <f>S21+T21+U21+V21/2</f>
        <v>1695.425</v>
      </c>
      <c r="Z21" s="565" t="s">
        <v>770</v>
      </c>
      <c r="AA21" s="638" t="s">
        <v>772</v>
      </c>
    </row>
    <row r="22" spans="1:27">
      <c r="A22" s="626"/>
      <c r="B22" s="627"/>
      <c r="C22" s="628"/>
      <c r="D22" s="627"/>
      <c r="E22" s="629"/>
      <c r="F22" s="565"/>
      <c r="G22" s="630"/>
      <c r="H22" s="631"/>
      <c r="I22" s="627"/>
      <c r="J22" s="628"/>
      <c r="K22" s="627"/>
      <c r="L22" s="628"/>
      <c r="M22" s="632"/>
      <c r="N22" s="633"/>
      <c r="O22" s="631"/>
      <c r="P22" s="634"/>
      <c r="Q22" s="634"/>
      <c r="R22" s="635"/>
      <c r="S22" s="636"/>
      <c r="T22" s="636"/>
      <c r="U22" s="636"/>
      <c r="V22" s="636"/>
      <c r="W22" s="637"/>
      <c r="X22" s="637"/>
      <c r="Y22" s="629"/>
      <c r="Z22" s="565"/>
      <c r="AA22" s="638"/>
    </row>
    <row r="23" spans="1:27">
      <c r="A23" s="626" t="s">
        <v>591</v>
      </c>
      <c r="B23" s="627"/>
      <c r="C23" s="628"/>
      <c r="D23" s="627"/>
      <c r="E23" s="629"/>
      <c r="F23" s="565"/>
      <c r="G23" s="630"/>
      <c r="H23" s="631"/>
      <c r="I23" s="627"/>
      <c r="J23" s="628"/>
      <c r="K23" s="627"/>
      <c r="L23" s="628"/>
      <c r="M23" s="632"/>
      <c r="N23" s="633"/>
      <c r="O23" s="631"/>
      <c r="P23" s="634"/>
      <c r="Q23" s="634"/>
      <c r="R23" s="635"/>
      <c r="S23" s="636"/>
      <c r="T23" s="636"/>
      <c r="U23" s="636"/>
      <c r="V23" s="637"/>
      <c r="W23" s="637"/>
      <c r="X23" s="637"/>
      <c r="Y23" s="629"/>
      <c r="Z23" s="565"/>
      <c r="AA23" s="638"/>
    </row>
    <row r="24" spans="1:27">
      <c r="A24" s="626" t="s">
        <v>583</v>
      </c>
      <c r="B24" s="627">
        <v>0</v>
      </c>
      <c r="C24" s="628"/>
      <c r="D24" s="627">
        <v>1</v>
      </c>
      <c r="E24" s="629"/>
      <c r="F24" s="565" t="s">
        <v>581</v>
      </c>
      <c r="G24" s="630">
        <v>39220</v>
      </c>
      <c r="H24" s="631">
        <f>O24</f>
        <v>6.1512000000000002</v>
      </c>
      <c r="I24" s="627">
        <v>2</v>
      </c>
      <c r="J24" s="628"/>
      <c r="K24" s="627">
        <v>3</v>
      </c>
      <c r="L24" s="628">
        <v>18.401</v>
      </c>
      <c r="M24" s="632">
        <f>O24/H24</f>
        <v>1</v>
      </c>
      <c r="N24" s="633">
        <v>10.0092100543855</v>
      </c>
      <c r="O24" s="631">
        <v>6.1512000000000002</v>
      </c>
      <c r="P24" s="634">
        <f>((D24*20)+E24)+((B24*20)+C24)</f>
        <v>20</v>
      </c>
      <c r="Q24" s="634">
        <f>((I24*20)+J24)+((K24*20)+L24)</f>
        <v>118.401</v>
      </c>
      <c r="R24" s="635">
        <f>O24/1.2</f>
        <v>5.1260000000000003</v>
      </c>
      <c r="S24" s="636">
        <v>0</v>
      </c>
      <c r="T24" s="636">
        <v>0</v>
      </c>
      <c r="U24" s="636">
        <v>0</v>
      </c>
      <c r="V24" s="637" t="s">
        <v>301</v>
      </c>
      <c r="W24" s="637" t="s">
        <v>301</v>
      </c>
      <c r="X24" s="637" t="s">
        <v>301</v>
      </c>
      <c r="Y24" s="629">
        <v>50</v>
      </c>
      <c r="Z24" s="565" t="s">
        <v>584</v>
      </c>
      <c r="AA24" s="638" t="s">
        <v>585</v>
      </c>
    </row>
    <row r="25" spans="1:27">
      <c r="A25" s="626" t="s">
        <v>583</v>
      </c>
      <c r="B25" s="627">
        <v>0</v>
      </c>
      <c r="C25" s="628"/>
      <c r="D25" s="627">
        <v>3</v>
      </c>
      <c r="E25" s="629">
        <v>18.401</v>
      </c>
      <c r="F25" s="565" t="s">
        <v>581</v>
      </c>
      <c r="G25" s="630">
        <v>39220</v>
      </c>
      <c r="H25" s="631">
        <f>O25</f>
        <v>93.540800000000004</v>
      </c>
      <c r="I25" s="627">
        <v>132</v>
      </c>
      <c r="J25" s="628">
        <v>2.85</v>
      </c>
      <c r="K25" s="627">
        <v>133</v>
      </c>
      <c r="L25" s="628">
        <v>0</v>
      </c>
      <c r="M25" s="632">
        <f>O25/H25</f>
        <v>1</v>
      </c>
      <c r="N25" s="633">
        <v>10.0092100543855</v>
      </c>
      <c r="O25" s="631">
        <v>93.540800000000004</v>
      </c>
      <c r="P25" s="634">
        <f>((D25*20)+E25)+((B25*20)+C25)</f>
        <v>78.400999999999996</v>
      </c>
      <c r="Q25" s="634">
        <f>((I25*20)+J25)+((K25*20)+L25)</f>
        <v>5302.85</v>
      </c>
      <c r="R25" s="635">
        <f>O25/1.2</f>
        <v>77.950666666666677</v>
      </c>
      <c r="S25" s="636">
        <v>24.4</v>
      </c>
      <c r="T25" s="636">
        <v>0</v>
      </c>
      <c r="U25" s="636">
        <v>800</v>
      </c>
      <c r="V25" s="637">
        <v>17.149999999999999</v>
      </c>
      <c r="W25" s="637" t="s">
        <v>301</v>
      </c>
      <c r="X25" s="637" t="s">
        <v>301</v>
      </c>
      <c r="Y25" s="629">
        <f>S25+T25+U25+V25/2</f>
        <v>832.97500000000002</v>
      </c>
      <c r="Z25" s="565" t="s">
        <v>592</v>
      </c>
      <c r="AA25" s="638" t="s">
        <v>590</v>
      </c>
    </row>
    <row r="26" spans="1:27">
      <c r="A26" s="626" t="s">
        <v>593</v>
      </c>
      <c r="B26" s="627"/>
      <c r="C26" s="628"/>
      <c r="D26" s="627"/>
      <c r="E26" s="629"/>
      <c r="F26" s="565"/>
      <c r="G26" s="630"/>
      <c r="H26" s="631"/>
      <c r="I26" s="627"/>
      <c r="J26" s="628"/>
      <c r="K26" s="627"/>
      <c r="L26" s="628"/>
      <c r="M26" s="632"/>
      <c r="N26" s="633"/>
      <c r="O26" s="631"/>
      <c r="P26" s="634"/>
      <c r="Q26" s="634"/>
      <c r="R26" s="635"/>
      <c r="S26" s="636"/>
      <c r="T26" s="636"/>
      <c r="U26" s="636"/>
      <c r="V26" s="637"/>
      <c r="W26" s="637"/>
      <c r="X26" s="637"/>
      <c r="Y26" s="629"/>
      <c r="Z26" s="565"/>
      <c r="AA26" s="638"/>
    </row>
    <row r="27" spans="1:27">
      <c r="A27" s="626" t="s">
        <v>583</v>
      </c>
      <c r="B27" s="627">
        <v>0</v>
      </c>
      <c r="C27" s="628"/>
      <c r="D27" s="627">
        <v>21</v>
      </c>
      <c r="E27" s="629">
        <v>5</v>
      </c>
      <c r="F27" s="565" t="s">
        <v>581</v>
      </c>
      <c r="G27" s="630">
        <v>39220</v>
      </c>
      <c r="H27" s="631">
        <f>O27</f>
        <v>1765.3040000000001</v>
      </c>
      <c r="I27" s="627">
        <v>130</v>
      </c>
      <c r="J27" s="628"/>
      <c r="K27" s="627">
        <v>133</v>
      </c>
      <c r="L27" s="628">
        <v>0</v>
      </c>
      <c r="M27" s="632">
        <f>O27/H27</f>
        <v>1</v>
      </c>
      <c r="N27" s="633">
        <v>10.0092100543855</v>
      </c>
      <c r="O27" s="631">
        <v>1765.3040000000001</v>
      </c>
      <c r="P27" s="634">
        <f>((D27*20)+E27)+((B27*20)+C27)</f>
        <v>425</v>
      </c>
      <c r="Q27" s="634">
        <f>((I27*20)+J27)+((K27*20)+L27)</f>
        <v>5260</v>
      </c>
      <c r="R27" s="635">
        <f>O27/1.2</f>
        <v>1471.0866666666668</v>
      </c>
      <c r="S27" s="636">
        <v>212.5</v>
      </c>
      <c r="T27" s="636">
        <v>0</v>
      </c>
      <c r="U27" s="636">
        <v>418.39299999999997</v>
      </c>
      <c r="V27" s="637">
        <v>60</v>
      </c>
      <c r="W27" s="637" t="s">
        <v>301</v>
      </c>
      <c r="X27" s="637" t="s">
        <v>301</v>
      </c>
      <c r="Y27" s="629">
        <f>S27+T27+U27+V27/2</f>
        <v>660.89300000000003</v>
      </c>
      <c r="Z27" s="565" t="s">
        <v>594</v>
      </c>
      <c r="AA27" s="638" t="s">
        <v>590</v>
      </c>
    </row>
    <row r="28" spans="1:27">
      <c r="A28" s="626"/>
      <c r="B28" s="627"/>
      <c r="C28" s="628"/>
      <c r="D28" s="627"/>
      <c r="E28" s="629"/>
      <c r="F28" s="565"/>
      <c r="G28" s="630"/>
      <c r="H28" s="631"/>
      <c r="I28" s="627"/>
      <c r="J28" s="628"/>
      <c r="K28" s="627"/>
      <c r="L28" s="628"/>
      <c r="M28" s="632"/>
      <c r="N28" s="633"/>
      <c r="O28" s="631"/>
      <c r="P28" s="634"/>
      <c r="Q28" s="634"/>
      <c r="R28" s="635"/>
      <c r="S28" s="636"/>
      <c r="T28" s="636"/>
      <c r="U28" s="636"/>
      <c r="V28" s="636"/>
      <c r="W28" s="636"/>
      <c r="X28" s="636"/>
      <c r="Y28" s="629"/>
      <c r="Z28" s="565"/>
      <c r="AA28" s="638"/>
    </row>
    <row r="29" spans="1:27">
      <c r="A29" s="626"/>
      <c r="B29" s="627"/>
      <c r="C29" s="628"/>
      <c r="D29" s="627"/>
      <c r="E29" s="629"/>
      <c r="F29" s="565"/>
      <c r="G29" s="630"/>
      <c r="H29" s="631"/>
      <c r="I29" s="627"/>
      <c r="J29" s="628"/>
      <c r="K29" s="900"/>
      <c r="L29" s="628"/>
      <c r="M29" s="632"/>
      <c r="N29" s="633"/>
      <c r="O29" s="641">
        <f>SUM(O9:O28)</f>
        <v>52934.941600000006</v>
      </c>
      <c r="P29" s="642"/>
      <c r="Q29" s="642"/>
      <c r="R29" s="641">
        <f>SUM(R9:R28)</f>
        <v>44112.451333333331</v>
      </c>
      <c r="S29" s="636"/>
      <c r="T29" s="636"/>
      <c r="U29" s="636"/>
      <c r="V29" s="636"/>
      <c r="W29" s="636"/>
      <c r="X29" s="636"/>
      <c r="Y29" s="629"/>
      <c r="Z29" s="940">
        <f>(R9+R12+R14+R16+R18+R19+R24)*1.2</f>
        <v>87.665200000000013</v>
      </c>
      <c r="AA29" s="638"/>
    </row>
    <row r="30" spans="1:27">
      <c r="A30" s="1604" t="s">
        <v>595</v>
      </c>
      <c r="B30" s="1605"/>
      <c r="C30" s="1605"/>
      <c r="D30" s="1605"/>
      <c r="E30" s="1605"/>
      <c r="F30" s="1605"/>
      <c r="G30" s="1605"/>
      <c r="H30" s="1605"/>
      <c r="I30" s="1605"/>
      <c r="J30" s="1605"/>
      <c r="K30" s="1605"/>
      <c r="L30" s="1605"/>
      <c r="M30" s="1605"/>
      <c r="N30" s="1605"/>
      <c r="O30" s="1605"/>
      <c r="P30" s="1605"/>
      <c r="Q30" s="1605"/>
      <c r="R30" s="1605"/>
      <c r="S30" s="1605"/>
      <c r="T30" s="1605"/>
      <c r="U30" s="1605"/>
      <c r="V30" s="1605"/>
      <c r="W30" s="1605"/>
      <c r="X30" s="1605"/>
      <c r="Y30" s="1605"/>
      <c r="Z30" s="1605"/>
      <c r="AA30" s="1606"/>
    </row>
    <row r="31" spans="1:27" ht="13.5" thickBot="1">
      <c r="A31" s="1607"/>
      <c r="B31" s="1608"/>
      <c r="C31" s="1608"/>
      <c r="D31" s="1608"/>
      <c r="E31" s="1608"/>
      <c r="F31" s="1608"/>
      <c r="G31" s="1608"/>
      <c r="H31" s="1608"/>
      <c r="I31" s="1608"/>
      <c r="J31" s="1608"/>
      <c r="K31" s="1608"/>
      <c r="L31" s="1608"/>
      <c r="M31" s="1608"/>
      <c r="N31" s="1608"/>
      <c r="O31" s="1608"/>
      <c r="P31" s="1608"/>
      <c r="Q31" s="1608"/>
      <c r="R31" s="1608"/>
      <c r="S31" s="1608"/>
      <c r="T31" s="1608"/>
      <c r="U31" s="1608"/>
      <c r="V31" s="1608"/>
      <c r="W31" s="1608"/>
      <c r="X31" s="1608"/>
      <c r="Y31" s="1608"/>
      <c r="Z31" s="1608"/>
      <c r="AA31" s="1609"/>
    </row>
    <row r="32" spans="1:27">
      <c r="A32" s="643"/>
      <c r="B32" s="1581" t="s">
        <v>596</v>
      </c>
      <c r="C32" s="1582"/>
      <c r="D32" s="1582"/>
      <c r="E32" s="1582"/>
      <c r="F32" s="1582"/>
      <c r="G32" s="644"/>
      <c r="H32" s="1610">
        <f>TRUNC(SUMIF(Z9:Z28,"até 50 m",O9:O28),3)</f>
        <v>87.665000000000006</v>
      </c>
      <c r="I32" s="1611"/>
      <c r="J32" s="1585" t="s">
        <v>597</v>
      </c>
      <c r="K32" s="1586"/>
      <c r="L32" s="1586"/>
      <c r="M32" s="1581"/>
      <c r="N32" s="645"/>
      <c r="O32" s="646">
        <f>TRUNC(SUMIF(Z9:Z29,"800a1000",O9:O29),3)</f>
        <v>93.54</v>
      </c>
      <c r="P32" s="647"/>
      <c r="Q32" s="647"/>
      <c r="R32" s="1582" t="s">
        <v>598</v>
      </c>
      <c r="S32" s="1582"/>
      <c r="T32" s="1582"/>
      <c r="U32" s="1582"/>
      <c r="V32" s="1582"/>
      <c r="W32" s="1582"/>
      <c r="X32" s="1582"/>
      <c r="Y32" s="1582"/>
      <c r="Z32" s="648">
        <f>TRUNC(SUMIF(Z9:Z29,"1800a2000",O9:O29),3)</f>
        <v>0</v>
      </c>
      <c r="AA32" s="649"/>
    </row>
    <row r="33" spans="1:27">
      <c r="A33" s="650"/>
      <c r="B33" s="1597" t="s">
        <v>599</v>
      </c>
      <c r="C33" s="1598"/>
      <c r="D33" s="1598"/>
      <c r="E33" s="1598"/>
      <c r="F33" s="1598"/>
      <c r="G33" s="651"/>
      <c r="H33" s="1599">
        <f>TRUNC(SUMIF(Z9:Z29,"50a200",O9:O29),3)</f>
        <v>29824.28</v>
      </c>
      <c r="I33" s="1600"/>
      <c r="J33" s="1601" t="s">
        <v>600</v>
      </c>
      <c r="K33" s="1602"/>
      <c r="L33" s="1602"/>
      <c r="M33" s="1597"/>
      <c r="N33" s="652"/>
      <c r="O33" s="653">
        <f>TRUNC(SUMIF(Z9:Z29,"1000a1200",O9:O29),3)</f>
        <v>0</v>
      </c>
      <c r="P33" s="654"/>
      <c r="Q33" s="654"/>
      <c r="R33" s="1598" t="s">
        <v>601</v>
      </c>
      <c r="S33" s="1598"/>
      <c r="T33" s="1598"/>
      <c r="U33" s="1598"/>
      <c r="V33" s="1598"/>
      <c r="W33" s="1598"/>
      <c r="X33" s="1598"/>
      <c r="Y33" s="1598"/>
      <c r="Z33" s="648">
        <f>TRUNC(SUMIF(Z9:Z29,"2000a3000",O9:O29),3)</f>
        <v>0</v>
      </c>
      <c r="AA33" s="655"/>
    </row>
    <row r="34" spans="1:27">
      <c r="A34" s="650"/>
      <c r="B34" s="1597" t="s">
        <v>602</v>
      </c>
      <c r="C34" s="1598"/>
      <c r="D34" s="1598"/>
      <c r="E34" s="1598"/>
      <c r="F34" s="1598"/>
      <c r="G34" s="651"/>
      <c r="H34" s="1599">
        <f>TRUNC(SUMIF(Z9:Z29,"200a400",O9:O29),3)</f>
        <v>9089.8209999999999</v>
      </c>
      <c r="I34" s="1600"/>
      <c r="J34" s="1601" t="s">
        <v>603</v>
      </c>
      <c r="K34" s="1602"/>
      <c r="L34" s="1602"/>
      <c r="M34" s="1602"/>
      <c r="N34" s="1597"/>
      <c r="O34" s="653">
        <f>TRUNC(SUMIF(Z9:Z29,"1200a1400",O9:O29),3)</f>
        <v>0</v>
      </c>
      <c r="P34" s="654"/>
      <c r="Q34" s="654"/>
      <c r="R34" s="1598" t="s">
        <v>604</v>
      </c>
      <c r="S34" s="1598"/>
      <c r="T34" s="1598"/>
      <c r="U34" s="1598"/>
      <c r="V34" s="1598"/>
      <c r="W34" s="1598"/>
      <c r="X34" s="1598"/>
      <c r="Y34" s="1598"/>
      <c r="Z34" s="648">
        <f>TRUNC(SUMIF(Z9:Z30,"3000a5000",O9:O30),3)</f>
        <v>0</v>
      </c>
      <c r="AA34" s="655"/>
    </row>
    <row r="35" spans="1:27">
      <c r="A35" s="650"/>
      <c r="B35" s="1597" t="s">
        <v>605</v>
      </c>
      <c r="C35" s="1598"/>
      <c r="D35" s="1598"/>
      <c r="E35" s="1598"/>
      <c r="F35" s="1598"/>
      <c r="G35" s="651"/>
      <c r="H35" s="1599">
        <f>TRUNC(SUMIF(Z9:Z29,"400a600",O9:O29),3)</f>
        <v>2466.248</v>
      </c>
      <c r="I35" s="1600"/>
      <c r="J35" s="1598" t="s">
        <v>606</v>
      </c>
      <c r="K35" s="1598"/>
      <c r="L35" s="1598"/>
      <c r="M35" s="1598"/>
      <c r="N35" s="1598"/>
      <c r="O35" s="653">
        <f>TRUNC(SUMIF(Z9:Z29,"1400a1600",O9:O29),3)</f>
        <v>0</v>
      </c>
      <c r="P35" s="654"/>
      <c r="Q35" s="654"/>
      <c r="R35" s="1603" t="s">
        <v>607</v>
      </c>
      <c r="S35" s="1603"/>
      <c r="T35" s="1603"/>
      <c r="U35" s="1603"/>
      <c r="V35" s="1603"/>
      <c r="W35" s="1603"/>
      <c r="X35" s="1603"/>
      <c r="Y35" s="1598"/>
      <c r="Z35" s="648">
        <v>0</v>
      </c>
      <c r="AA35" s="655"/>
    </row>
    <row r="36" spans="1:27" ht="13.5" thickBot="1">
      <c r="A36" s="650"/>
      <c r="B36" s="1589" t="s">
        <v>608</v>
      </c>
      <c r="C36" s="1590"/>
      <c r="D36" s="1590"/>
      <c r="E36" s="1590"/>
      <c r="F36" s="1590"/>
      <c r="G36" s="656"/>
      <c r="H36" s="1591">
        <f>TRUNC(SUMIF(Z9:Z29,"600a800",O9:O29),3)</f>
        <v>1765.3040000000001</v>
      </c>
      <c r="I36" s="1592"/>
      <c r="J36" s="1590" t="s">
        <v>609</v>
      </c>
      <c r="K36" s="1590"/>
      <c r="L36" s="1590"/>
      <c r="M36" s="1590"/>
      <c r="N36" s="1590"/>
      <c r="O36" s="657">
        <f>TRUNC(SUMIF(Z9:Z29,"1600a1800",O9:O29),3)</f>
        <v>9608.0820000000003</v>
      </c>
      <c r="P36" s="658"/>
      <c r="Q36" s="658"/>
      <c r="R36" s="659"/>
      <c r="S36" s="660"/>
      <c r="T36" s="660"/>
      <c r="U36" s="660"/>
      <c r="V36" s="660"/>
      <c r="W36" s="660"/>
      <c r="X36" s="660"/>
      <c r="Y36" s="661"/>
      <c r="Z36" s="662"/>
      <c r="AA36" s="663"/>
    </row>
    <row r="37" spans="1:27" ht="15.75" thickBot="1">
      <c r="A37" s="664"/>
      <c r="B37" s="1581" t="s">
        <v>610</v>
      </c>
      <c r="C37" s="1582"/>
      <c r="D37" s="1582"/>
      <c r="E37" s="1582"/>
      <c r="F37" s="1582"/>
      <c r="G37" s="644"/>
      <c r="H37" s="1583"/>
      <c r="I37" s="1584"/>
      <c r="J37" s="1582" t="s">
        <v>611</v>
      </c>
      <c r="K37" s="1582"/>
      <c r="L37" s="1582"/>
      <c r="M37" s="1582"/>
      <c r="N37" s="665"/>
      <c r="O37" s="646"/>
      <c r="P37" s="647"/>
      <c r="Q37" s="647"/>
      <c r="R37" s="1585" t="s">
        <v>612</v>
      </c>
      <c r="S37" s="1586"/>
      <c r="T37" s="1586"/>
      <c r="U37" s="1586"/>
      <c r="V37" s="1586"/>
      <c r="W37" s="1586"/>
      <c r="X37" s="1586"/>
      <c r="Y37" s="1581"/>
      <c r="Z37" s="1587">
        <f>[11]RESUMODISTRIBUIÇÃO!F25</f>
        <v>0</v>
      </c>
      <c r="AA37" s="1588"/>
    </row>
    <row r="38" spans="1:27" ht="13.5" thickBot="1">
      <c r="A38" s="666"/>
      <c r="B38" s="1593" t="s">
        <v>613</v>
      </c>
      <c r="C38" s="1578"/>
      <c r="D38" s="1578"/>
      <c r="E38" s="1578"/>
      <c r="F38" s="1578"/>
      <c r="G38" s="667"/>
      <c r="H38" s="1594"/>
      <c r="I38" s="1595"/>
      <c r="J38" s="1596"/>
      <c r="K38" s="1578"/>
      <c r="L38" s="1578"/>
      <c r="M38" s="1578"/>
      <c r="N38" s="668"/>
      <c r="O38" s="669"/>
      <c r="P38" s="670"/>
      <c r="Q38" s="671"/>
      <c r="R38" s="1578" t="s">
        <v>614</v>
      </c>
      <c r="S38" s="1578"/>
      <c r="T38" s="1578"/>
      <c r="U38" s="1578"/>
      <c r="V38" s="1578"/>
      <c r="W38" s="1578"/>
      <c r="X38" s="1578"/>
      <c r="Y38" s="1578"/>
      <c r="Z38" s="1579">
        <v>0</v>
      </c>
      <c r="AA38" s="1580"/>
    </row>
    <row r="39" spans="1:27">
      <c r="A39" s="672"/>
      <c r="B39" s="506"/>
      <c r="C39" s="506"/>
      <c r="D39" s="506"/>
      <c r="E39" s="506"/>
      <c r="F39" s="673"/>
      <c r="G39" s="673"/>
      <c r="H39" s="674"/>
      <c r="I39" s="506"/>
      <c r="J39" s="506"/>
      <c r="K39" s="506"/>
      <c r="L39" s="506"/>
      <c r="M39" s="675"/>
      <c r="N39" s="506"/>
      <c r="O39" s="676"/>
      <c r="P39" s="676"/>
      <c r="Q39" s="676"/>
      <c r="R39" s="676"/>
      <c r="S39" s="676"/>
      <c r="T39" s="676"/>
      <c r="U39" s="676"/>
      <c r="V39" s="676"/>
      <c r="W39" s="676"/>
      <c r="X39" s="676"/>
      <c r="Y39" s="506"/>
      <c r="Z39" s="506"/>
      <c r="AA39" s="677"/>
    </row>
    <row r="40" spans="1:27">
      <c r="A40" s="678" t="s">
        <v>615</v>
      </c>
      <c r="B40" s="679" t="s">
        <v>570</v>
      </c>
      <c r="C40" s="680"/>
      <c r="D40" s="681" t="s">
        <v>616</v>
      </c>
      <c r="E40" s="682"/>
      <c r="F40" s="683"/>
      <c r="G40" s="673"/>
      <c r="H40" s="674"/>
      <c r="I40" s="684"/>
      <c r="J40" s="685" t="s">
        <v>617</v>
      </c>
      <c r="K40" s="686" t="s">
        <v>618</v>
      </c>
      <c r="L40" s="683"/>
      <c r="M40" s="675"/>
      <c r="N40" s="506"/>
      <c r="O40" s="676"/>
      <c r="P40" s="676"/>
      <c r="Q40" s="676"/>
      <c r="R40" s="676"/>
      <c r="S40" s="676"/>
      <c r="T40" s="676"/>
      <c r="U40" s="676"/>
      <c r="V40" s="676"/>
      <c r="W40" s="676"/>
      <c r="X40" s="676"/>
      <c r="Y40" s="506"/>
      <c r="Z40" s="506"/>
      <c r="AA40" s="677"/>
    </row>
    <row r="41" spans="1:27">
      <c r="A41" s="687"/>
      <c r="B41" s="688"/>
      <c r="C41" s="688"/>
      <c r="D41" s="688"/>
      <c r="E41" s="688"/>
      <c r="F41" s="689"/>
      <c r="G41" s="673"/>
      <c r="H41" s="674"/>
      <c r="I41" s="690"/>
      <c r="J41" s="688"/>
      <c r="K41" s="691" t="s">
        <v>619</v>
      </c>
      <c r="L41" s="692"/>
      <c r="M41" s="675"/>
      <c r="N41" s="506"/>
      <c r="O41" s="676"/>
      <c r="P41" s="676"/>
      <c r="Q41" s="676"/>
      <c r="R41" s="676"/>
      <c r="S41" s="676"/>
      <c r="T41" s="676"/>
      <c r="U41" s="676"/>
      <c r="V41" s="676"/>
      <c r="W41" s="676"/>
      <c r="X41" s="676"/>
      <c r="Y41" s="506"/>
      <c r="Z41" s="506"/>
      <c r="AA41" s="693"/>
    </row>
    <row r="42" spans="1:27">
      <c r="A42" s="687"/>
      <c r="B42" s="688"/>
      <c r="C42" s="688"/>
      <c r="D42" s="688"/>
      <c r="E42" s="688"/>
      <c r="F42" s="689"/>
      <c r="G42" s="673"/>
      <c r="H42" s="674"/>
      <c r="I42" s="690"/>
      <c r="J42" s="688"/>
      <c r="K42" s="694"/>
      <c r="L42" s="695" t="s">
        <v>620</v>
      </c>
      <c r="M42" s="675"/>
      <c r="N42" s="506"/>
      <c r="O42" s="676"/>
      <c r="P42" s="676"/>
      <c r="Q42" s="676"/>
      <c r="R42" s="676"/>
      <c r="S42" s="676"/>
      <c r="T42" s="676"/>
      <c r="U42" s="676"/>
      <c r="V42" s="1571" t="s">
        <v>20</v>
      </c>
      <c r="W42" s="1572"/>
      <c r="X42" s="1572"/>
      <c r="Y42" s="1573">
        <f>H32+H33+H34+H35+H36+O32+O33+O34+O35+O36+Z32+Z33+Z34+Z35</f>
        <v>52934.94</v>
      </c>
      <c r="Z42" s="1574"/>
      <c r="AA42" s="677"/>
    </row>
    <row r="43" spans="1:27">
      <c r="A43" s="687"/>
      <c r="B43" s="688"/>
      <c r="C43" s="688"/>
      <c r="D43" s="688"/>
      <c r="E43" s="696" t="s">
        <v>615</v>
      </c>
      <c r="F43" s="1575" t="s">
        <v>571</v>
      </c>
      <c r="G43" s="673"/>
      <c r="H43" s="674"/>
      <c r="I43" s="690"/>
      <c r="J43" s="697" t="s">
        <v>615</v>
      </c>
      <c r="K43" s="688"/>
      <c r="L43" s="689"/>
      <c r="M43" s="675"/>
      <c r="N43" s="506"/>
      <c r="O43" s="676"/>
      <c r="P43" s="676"/>
      <c r="Q43" s="676"/>
      <c r="R43" s="676"/>
      <c r="S43" s="676"/>
      <c r="T43" s="676"/>
      <c r="U43" s="676"/>
      <c r="V43" s="676"/>
      <c r="W43" s="676"/>
      <c r="X43" s="676"/>
      <c r="Y43" s="506"/>
      <c r="Z43" s="506"/>
      <c r="AA43" s="677"/>
    </row>
    <row r="44" spans="1:27">
      <c r="A44" s="698" t="s">
        <v>621</v>
      </c>
      <c r="B44" s="688"/>
      <c r="C44" s="688"/>
      <c r="D44" s="688"/>
      <c r="E44" s="688"/>
      <c r="F44" s="1575"/>
      <c r="G44" s="673"/>
      <c r="H44" s="674"/>
      <c r="I44" s="699" t="s">
        <v>622</v>
      </c>
      <c r="J44" s="688"/>
      <c r="K44" s="688"/>
      <c r="L44" s="700" t="s">
        <v>615</v>
      </c>
      <c r="M44" s="675"/>
      <c r="N44" s="506"/>
      <c r="O44" s="701" t="s">
        <v>623</v>
      </c>
      <c r="P44" s="676"/>
      <c r="Q44" s="676"/>
      <c r="R44" s="676"/>
      <c r="S44" s="676"/>
      <c r="T44" s="676"/>
      <c r="U44" s="676"/>
      <c r="V44" s="676"/>
      <c r="W44" s="676"/>
      <c r="X44" s="676"/>
      <c r="Y44" s="1576"/>
      <c r="Z44" s="1577"/>
      <c r="AA44" s="677"/>
    </row>
    <row r="45" spans="1:27">
      <c r="A45" s="698" t="s">
        <v>624</v>
      </c>
      <c r="B45" s="696" t="s">
        <v>625</v>
      </c>
      <c r="C45" s="688"/>
      <c r="D45" s="688"/>
      <c r="E45" s="688"/>
      <c r="F45" s="689"/>
      <c r="G45" s="673"/>
      <c r="H45" s="674"/>
      <c r="I45" s="690"/>
      <c r="J45" s="688"/>
      <c r="K45" s="688"/>
      <c r="L45" s="689"/>
      <c r="M45" s="675"/>
      <c r="N45" s="506"/>
      <c r="O45" s="676"/>
      <c r="P45" s="676"/>
      <c r="Q45" s="676"/>
      <c r="R45" s="676"/>
      <c r="S45" s="676"/>
      <c r="T45" s="676"/>
      <c r="U45" s="676"/>
      <c r="V45" s="676"/>
      <c r="W45" s="676"/>
      <c r="X45" s="676"/>
      <c r="Y45" s="506"/>
      <c r="Z45" s="506"/>
      <c r="AA45" s="677"/>
    </row>
    <row r="46" spans="1:27">
      <c r="A46" s="687"/>
      <c r="B46" s="696"/>
      <c r="C46" s="688"/>
      <c r="D46" s="688"/>
      <c r="E46" s="688"/>
      <c r="F46" s="689"/>
      <c r="G46" s="673"/>
      <c r="H46" s="674"/>
      <c r="I46" s="690"/>
      <c r="J46" s="688"/>
      <c r="K46" s="688"/>
      <c r="L46" s="689"/>
      <c r="M46" s="675"/>
      <c r="N46" s="506"/>
      <c r="O46" s="702" t="s">
        <v>597</v>
      </c>
      <c r="P46" s="702"/>
      <c r="Q46" s="702"/>
      <c r="R46" s="702"/>
      <c r="S46" s="1566"/>
      <c r="T46" s="1567"/>
      <c r="U46" s="676"/>
      <c r="V46" s="676"/>
      <c r="W46" s="676"/>
      <c r="X46" s="676"/>
      <c r="Y46" s="703"/>
      <c r="Z46" s="506"/>
      <c r="AA46" s="677"/>
    </row>
    <row r="47" spans="1:27">
      <c r="A47" s="687"/>
      <c r="B47" s="704" t="s">
        <v>626</v>
      </c>
      <c r="C47" s="705"/>
      <c r="D47" s="705" t="s">
        <v>627</v>
      </c>
      <c r="E47" s="688"/>
      <c r="F47" s="689"/>
      <c r="G47" s="673"/>
      <c r="H47" s="674"/>
      <c r="I47" s="706" t="s">
        <v>628</v>
      </c>
      <c r="J47" s="697"/>
      <c r="K47" s="688"/>
      <c r="L47" s="689"/>
      <c r="M47" s="675"/>
      <c r="N47" s="506"/>
      <c r="O47" s="702" t="s">
        <v>606</v>
      </c>
      <c r="P47" s="702"/>
      <c r="Q47" s="702"/>
      <c r="R47" s="702"/>
      <c r="S47" s="1566"/>
      <c r="T47" s="1567"/>
      <c r="U47" s="676"/>
      <c r="V47" s="676"/>
      <c r="W47" s="676"/>
      <c r="X47" s="676"/>
      <c r="Y47" s="707"/>
      <c r="Z47" s="506"/>
      <c r="AA47" s="677"/>
    </row>
    <row r="48" spans="1:27">
      <c r="A48" s="708" t="s">
        <v>629</v>
      </c>
      <c r="B48" s="694"/>
      <c r="C48" s="709"/>
      <c r="D48" s="709"/>
      <c r="E48" s="709"/>
      <c r="F48" s="689"/>
      <c r="G48" s="673"/>
      <c r="H48" s="674"/>
      <c r="I48" s="710" t="s">
        <v>630</v>
      </c>
      <c r="J48" s="711"/>
      <c r="K48" s="712"/>
      <c r="L48" s="713" t="s">
        <v>573</v>
      </c>
      <c r="M48" s="675"/>
      <c r="N48" s="506"/>
      <c r="O48" s="702" t="s">
        <v>604</v>
      </c>
      <c r="P48" s="702"/>
      <c r="Q48" s="702"/>
      <c r="R48" s="702"/>
      <c r="S48" s="1566"/>
      <c r="T48" s="1567"/>
      <c r="U48" s="714"/>
      <c r="V48" s="714"/>
      <c r="W48" s="676"/>
      <c r="X48" s="676"/>
      <c r="Y48" s="506"/>
      <c r="Z48" s="715"/>
      <c r="AA48" s="677"/>
    </row>
    <row r="49" spans="1:27">
      <c r="A49" s="1568" t="s">
        <v>631</v>
      </c>
      <c r="B49" s="1569"/>
      <c r="C49" s="716"/>
      <c r="D49" s="716"/>
      <c r="E49" s="716"/>
      <c r="F49" s="717"/>
      <c r="G49" s="673"/>
      <c r="H49" s="674"/>
      <c r="I49" s="718"/>
      <c r="J49" s="716"/>
      <c r="K49" s="716"/>
      <c r="L49" s="717"/>
      <c r="M49" s="675"/>
      <c r="N49" s="506"/>
      <c r="O49" s="676"/>
      <c r="P49" s="676"/>
      <c r="Q49" s="676"/>
      <c r="R49" s="676"/>
      <c r="S49" s="1570"/>
      <c r="T49" s="1570"/>
      <c r="U49" s="676"/>
      <c r="V49" s="676"/>
      <c r="W49" s="676"/>
      <c r="X49" s="676"/>
      <c r="Y49" s="506"/>
      <c r="Z49" s="506"/>
      <c r="AA49" s="677"/>
    </row>
    <row r="50" spans="1:27" ht="13.5" thickBot="1">
      <c r="A50" s="719"/>
      <c r="B50" s="720"/>
      <c r="C50" s="721"/>
      <c r="D50" s="721"/>
      <c r="E50" s="721"/>
      <c r="F50" s="721"/>
      <c r="G50" s="722"/>
      <c r="H50" s="723"/>
      <c r="I50" s="724"/>
      <c r="J50" s="725"/>
      <c r="K50" s="724"/>
      <c r="L50" s="724"/>
      <c r="M50" s="726"/>
      <c r="N50" s="724"/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4"/>
      <c r="Z50" s="724"/>
      <c r="AA50" s="728"/>
    </row>
    <row r="54" spans="1:27">
      <c r="R54" s="381">
        <f>R29</f>
        <v>44112.451333333331</v>
      </c>
    </row>
  </sheetData>
  <mergeCells count="55">
    <mergeCell ref="A3:AA4"/>
    <mergeCell ref="A5:A7"/>
    <mergeCell ref="B5:H5"/>
    <mergeCell ref="I5:L5"/>
    <mergeCell ref="M5:AA5"/>
    <mergeCell ref="B6:C6"/>
    <mergeCell ref="D6:E6"/>
    <mergeCell ref="Y6:Y7"/>
    <mergeCell ref="Z6:Z7"/>
    <mergeCell ref="AA6:AA7"/>
    <mergeCell ref="F6:F7"/>
    <mergeCell ref="H6:H7"/>
    <mergeCell ref="I6:J6"/>
    <mergeCell ref="K6:L6"/>
    <mergeCell ref="M6:M7"/>
    <mergeCell ref="O6:R6"/>
    <mergeCell ref="B33:F33"/>
    <mergeCell ref="H33:I33"/>
    <mergeCell ref="J33:M33"/>
    <mergeCell ref="R33:Y33"/>
    <mergeCell ref="A30:AA31"/>
    <mergeCell ref="B32:F32"/>
    <mergeCell ref="H32:I32"/>
    <mergeCell ref="J32:M32"/>
    <mergeCell ref="R32:Y32"/>
    <mergeCell ref="B34:F34"/>
    <mergeCell ref="H34:I34"/>
    <mergeCell ref="J34:N34"/>
    <mergeCell ref="R34:Y34"/>
    <mergeCell ref="B35:F35"/>
    <mergeCell ref="H35:I35"/>
    <mergeCell ref="J35:N35"/>
    <mergeCell ref="R35:Y35"/>
    <mergeCell ref="B36:F36"/>
    <mergeCell ref="H36:I36"/>
    <mergeCell ref="J36:N36"/>
    <mergeCell ref="B38:F38"/>
    <mergeCell ref="H38:I38"/>
    <mergeCell ref="J38:M38"/>
    <mergeCell ref="R38:Y38"/>
    <mergeCell ref="Z38:AA38"/>
    <mergeCell ref="B37:F37"/>
    <mergeCell ref="H37:I37"/>
    <mergeCell ref="J37:M37"/>
    <mergeCell ref="R37:Y37"/>
    <mergeCell ref="Z37:AA37"/>
    <mergeCell ref="S48:T48"/>
    <mergeCell ref="A49:B49"/>
    <mergeCell ref="S49:T49"/>
    <mergeCell ref="V42:X42"/>
    <mergeCell ref="Y42:Z42"/>
    <mergeCell ref="F43:F44"/>
    <mergeCell ref="Y44:Z44"/>
    <mergeCell ref="S46:T46"/>
    <mergeCell ref="S47:T47"/>
  </mergeCells>
  <pageMargins left="0.511811024" right="0.511811024" top="0.78740157499999996" bottom="0.78740157499999996" header="0.31496062000000002" footer="0.3149606200000000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O36"/>
  <sheetViews>
    <sheetView workbookViewId="0">
      <selection activeCell="L16" sqref="L16"/>
    </sheetView>
  </sheetViews>
  <sheetFormatPr defaultRowHeight="12.75"/>
  <cols>
    <col min="2" max="2" width="7.85546875" style="388" customWidth="1"/>
    <col min="3" max="3" width="6.85546875" style="388" customWidth="1"/>
    <col min="4" max="4" width="7.85546875" style="388" customWidth="1"/>
    <col min="5" max="5" width="6.85546875" style="388" customWidth="1"/>
    <col min="6" max="6" width="26.5703125" style="389" customWidth="1"/>
    <col min="7" max="7" width="21.28515625" style="398" customWidth="1"/>
    <col min="8" max="8" width="18.42578125" style="398" customWidth="1"/>
    <col min="9" max="9" width="10.28515625" style="389" bestFit="1" customWidth="1"/>
    <col min="10" max="10" width="13.28515625" style="390" customWidth="1"/>
    <col min="11" max="11" width="11.28515625" style="390" bestFit="1" customWidth="1"/>
    <col min="12" max="12" width="19.85546875" style="391" customWidth="1"/>
    <col min="13" max="13" width="10.28515625" bestFit="1" customWidth="1"/>
    <col min="15" max="15" width="11.140625" bestFit="1" customWidth="1"/>
  </cols>
  <sheetData>
    <row r="1" spans="2:15" ht="12.75" customHeight="1">
      <c r="B1" s="523" t="s">
        <v>724</v>
      </c>
      <c r="C1" s="545"/>
      <c r="D1" s="545"/>
      <c r="E1" s="545"/>
      <c r="F1" s="545"/>
      <c r="G1" s="545"/>
      <c r="H1" s="545"/>
      <c r="I1" s="545"/>
      <c r="J1" s="545"/>
      <c r="K1" s="545"/>
      <c r="L1" s="546"/>
    </row>
    <row r="2" spans="2:15" ht="12.75" customHeight="1">
      <c r="B2" s="510" t="s">
        <v>832</v>
      </c>
      <c r="C2" s="544"/>
      <c r="D2" s="544"/>
      <c r="E2" s="544"/>
      <c r="F2" s="544"/>
      <c r="G2" s="544"/>
      <c r="H2" s="544"/>
      <c r="I2" s="544"/>
      <c r="J2" s="544"/>
      <c r="K2" s="544"/>
      <c r="L2" s="547"/>
    </row>
    <row r="3" spans="2:15" ht="12.75" customHeight="1">
      <c r="B3" s="1626" t="s">
        <v>635</v>
      </c>
      <c r="C3" s="1627"/>
      <c r="D3" s="1627"/>
      <c r="E3" s="1627"/>
      <c r="F3" s="1627"/>
      <c r="G3" s="1627"/>
      <c r="H3" s="1627"/>
      <c r="I3" s="1627"/>
      <c r="J3" s="1627"/>
      <c r="K3" s="1627"/>
      <c r="L3" s="1628"/>
    </row>
    <row r="4" spans="2:15" ht="12.75" customHeight="1">
      <c r="B4" s="1629"/>
      <c r="C4" s="1630"/>
      <c r="D4" s="1630"/>
      <c r="E4" s="1630"/>
      <c r="F4" s="1630"/>
      <c r="G4" s="1630"/>
      <c r="H4" s="1630"/>
      <c r="I4" s="1630"/>
      <c r="J4" s="1630"/>
      <c r="K4" s="1630"/>
      <c r="L4" s="1631"/>
    </row>
    <row r="5" spans="2:15">
      <c r="B5" s="1633" t="s">
        <v>566</v>
      </c>
      <c r="C5" s="1634"/>
      <c r="D5" s="1634" t="s">
        <v>567</v>
      </c>
      <c r="E5" s="1634"/>
      <c r="F5" s="1635" t="s">
        <v>636</v>
      </c>
      <c r="G5" s="1636" t="s">
        <v>637</v>
      </c>
      <c r="H5" s="1636"/>
      <c r="I5" s="1637" t="s">
        <v>638</v>
      </c>
      <c r="J5" s="1637"/>
      <c r="K5" s="1637" t="s">
        <v>638</v>
      </c>
      <c r="L5" s="1638"/>
    </row>
    <row r="6" spans="2:15" ht="25.5">
      <c r="B6" s="559" t="s">
        <v>577</v>
      </c>
      <c r="C6" s="395" t="s">
        <v>108</v>
      </c>
      <c r="D6" s="395" t="s">
        <v>577</v>
      </c>
      <c r="E6" s="395" t="s">
        <v>108</v>
      </c>
      <c r="F6" s="1635"/>
      <c r="G6" s="560" t="s">
        <v>639</v>
      </c>
      <c r="H6" s="560" t="s">
        <v>640</v>
      </c>
      <c r="I6" s="561" t="s">
        <v>641</v>
      </c>
      <c r="J6" s="562" t="s">
        <v>642</v>
      </c>
      <c r="K6" s="561" t="s">
        <v>20</v>
      </c>
      <c r="L6" s="563" t="s">
        <v>643</v>
      </c>
    </row>
    <row r="7" spans="2:15">
      <c r="B7" s="471"/>
      <c r="C7" s="408"/>
      <c r="D7" s="409"/>
      <c r="E7" s="410"/>
      <c r="F7" s="393"/>
      <c r="G7" s="800"/>
      <c r="H7" s="800"/>
      <c r="I7" s="394"/>
      <c r="J7" s="394"/>
      <c r="K7" s="394"/>
      <c r="L7" s="549"/>
    </row>
    <row r="8" spans="2:15">
      <c r="B8" s="550" t="s">
        <v>644</v>
      </c>
      <c r="C8" s="429"/>
      <c r="D8" s="414"/>
      <c r="E8" s="415"/>
      <c r="F8" s="416"/>
      <c r="G8" s="801"/>
      <c r="H8" s="801"/>
      <c r="I8" s="417"/>
      <c r="J8" s="417"/>
      <c r="K8" s="417"/>
      <c r="L8" s="551"/>
    </row>
    <row r="9" spans="2:15">
      <c r="B9" s="552"/>
      <c r="C9" s="413"/>
      <c r="D9" s="414"/>
      <c r="E9" s="415"/>
      <c r="F9" s="416"/>
      <c r="G9" s="801"/>
      <c r="H9" s="801"/>
      <c r="I9" s="417"/>
      <c r="J9" s="417"/>
      <c r="K9" s="417"/>
      <c r="L9" s="551"/>
    </row>
    <row r="10" spans="2:15">
      <c r="B10" s="553">
        <v>0</v>
      </c>
      <c r="C10" s="418"/>
      <c r="D10" s="432">
        <v>174</v>
      </c>
      <c r="E10" s="418">
        <v>10</v>
      </c>
      <c r="F10" s="411">
        <f>TRUNC(((D10-B10)*20)+(E10-C10),3)</f>
        <v>3490</v>
      </c>
      <c r="G10" s="802">
        <v>8.5703152866242043</v>
      </c>
      <c r="H10" s="802">
        <v>8.7267707006369442</v>
      </c>
      <c r="I10" s="412">
        <f>TRUNC((F10*G10),3)</f>
        <v>29910.400000000001</v>
      </c>
      <c r="J10" s="412">
        <f>TRUNC((F10*H10),3)</f>
        <v>30456.429</v>
      </c>
      <c r="K10" s="412">
        <f>SUM(I10:J10)</f>
        <v>60366.828999999998</v>
      </c>
      <c r="L10" s="554">
        <f>K10</f>
        <v>60366.828999999998</v>
      </c>
    </row>
    <row r="11" spans="2:15">
      <c r="B11" s="555" t="s">
        <v>645</v>
      </c>
      <c r="C11" s="392"/>
      <c r="D11" s="392"/>
      <c r="E11" s="392"/>
      <c r="F11" s="395"/>
      <c r="G11" s="799"/>
      <c r="H11" s="799"/>
      <c r="I11" s="395"/>
      <c r="J11" s="397"/>
      <c r="K11" s="397"/>
      <c r="L11" s="556"/>
    </row>
    <row r="12" spans="2:15">
      <c r="B12" s="550"/>
      <c r="C12" s="424"/>
      <c r="D12" s="424"/>
      <c r="E12" s="424"/>
      <c r="F12" s="425"/>
      <c r="G12" s="799"/>
      <c r="H12" s="799"/>
      <c r="I12" s="425"/>
      <c r="J12" s="423"/>
      <c r="K12" s="423"/>
      <c r="L12" s="557"/>
    </row>
    <row r="13" spans="2:15">
      <c r="B13" s="548">
        <v>0</v>
      </c>
      <c r="C13" s="382"/>
      <c r="D13" s="430">
        <v>3</v>
      </c>
      <c r="E13" s="382">
        <v>18.401</v>
      </c>
      <c r="F13" s="383">
        <f>TRUNC(((D13-B13)*20)+(E13-C13),3)</f>
        <v>78.400999999999996</v>
      </c>
      <c r="G13" s="798">
        <v>2.2528199999999998</v>
      </c>
      <c r="H13" s="798">
        <v>2.1810999999999998</v>
      </c>
      <c r="I13" s="384">
        <f>TRUNC((F13*G13),3)</f>
        <v>176.62299999999999</v>
      </c>
      <c r="J13" s="384">
        <f>TRUNC((F13*H13),3)</f>
        <v>171</v>
      </c>
      <c r="K13" s="384">
        <f>SUM(I13:J13)</f>
        <v>347.62299999999999</v>
      </c>
      <c r="L13" s="465">
        <f>L10+K13</f>
        <v>60714.451999999997</v>
      </c>
    </row>
    <row r="14" spans="2:15">
      <c r="B14" s="558" t="s">
        <v>593</v>
      </c>
      <c r="C14" s="392"/>
      <c r="D14" s="392"/>
      <c r="E14" s="392"/>
      <c r="F14" s="395"/>
      <c r="G14" s="799"/>
      <c r="H14" s="799"/>
      <c r="I14" s="395"/>
      <c r="J14" s="397"/>
      <c r="K14" s="397"/>
      <c r="L14" s="556"/>
      <c r="O14" s="381"/>
    </row>
    <row r="15" spans="2:15">
      <c r="B15" s="558"/>
      <c r="C15" s="392"/>
      <c r="D15" s="392"/>
      <c r="E15" s="392"/>
      <c r="F15" s="395"/>
      <c r="G15" s="799"/>
      <c r="H15" s="799"/>
      <c r="I15" s="395"/>
      <c r="J15" s="397"/>
      <c r="K15" s="397"/>
      <c r="L15" s="556"/>
      <c r="O15" s="381"/>
    </row>
    <row r="16" spans="2:15">
      <c r="B16" s="548">
        <v>0</v>
      </c>
      <c r="C16" s="382"/>
      <c r="D16" s="430">
        <v>21</v>
      </c>
      <c r="E16" s="382">
        <v>5</v>
      </c>
      <c r="F16" s="383">
        <f>TRUNC(((D16-B16)*20)+(E16-C16),3)</f>
        <v>425</v>
      </c>
      <c r="G16" s="798">
        <v>2.0032633333333334</v>
      </c>
      <c r="H16" s="798">
        <v>2</v>
      </c>
      <c r="I16" s="384">
        <f>TRUNC((F16*G16),3)</f>
        <v>851.38599999999997</v>
      </c>
      <c r="J16" s="384">
        <f>TRUNC((F16*H16),3)</f>
        <v>850</v>
      </c>
      <c r="K16" s="384">
        <f>SUM(I16:J16)</f>
        <v>1701.386</v>
      </c>
      <c r="L16" s="465">
        <f>L13+K16</f>
        <v>62415.837999999996</v>
      </c>
    </row>
    <row r="17" spans="2:15">
      <c r="B17" s="558"/>
      <c r="C17" s="392"/>
      <c r="D17" s="392"/>
      <c r="E17" s="392"/>
      <c r="F17" s="395"/>
      <c r="G17" s="396"/>
      <c r="H17" s="396"/>
      <c r="I17" s="395"/>
      <c r="J17" s="397"/>
      <c r="K17" s="397"/>
      <c r="L17" s="556"/>
      <c r="O17" s="381"/>
    </row>
    <row r="18" spans="2:15">
      <c r="B18" s="399"/>
      <c r="C18" s="400"/>
      <c r="D18" s="400"/>
      <c r="E18" s="400"/>
      <c r="F18" s="421"/>
      <c r="G18" s="421"/>
      <c r="H18" s="422"/>
      <c r="I18" s="403"/>
      <c r="J18" s="403"/>
      <c r="K18" s="403"/>
      <c r="L18" s="404"/>
      <c r="M18" s="367"/>
    </row>
    <row r="19" spans="2:15">
      <c r="B19" s="399"/>
      <c r="C19" s="400"/>
      <c r="D19" s="400"/>
      <c r="E19" s="400"/>
      <c r="F19" s="1632"/>
      <c r="G19" s="1632"/>
      <c r="H19" s="419"/>
      <c r="I19" s="403"/>
      <c r="J19" s="403"/>
      <c r="K19" s="403"/>
      <c r="L19" s="404"/>
      <c r="M19" s="367"/>
    </row>
    <row r="20" spans="2:15">
      <c r="B20" s="399"/>
      <c r="C20" s="400"/>
      <c r="D20" s="400"/>
      <c r="E20" s="400"/>
      <c r="F20" s="1632"/>
      <c r="G20" s="1632"/>
      <c r="H20" s="419"/>
      <c r="I20" s="403"/>
      <c r="J20" s="403"/>
      <c r="K20" s="403"/>
      <c r="L20" s="404"/>
      <c r="M20" s="367"/>
    </row>
    <row r="21" spans="2:15">
      <c r="B21" s="399"/>
      <c r="C21" s="400"/>
      <c r="D21" s="400"/>
      <c r="E21" s="400"/>
      <c r="F21" s="401"/>
      <c r="G21" s="402"/>
      <c r="H21" s="402"/>
      <c r="I21" s="403"/>
      <c r="J21" s="403"/>
      <c r="K21" s="403"/>
      <c r="L21" s="404"/>
      <c r="M21" s="367"/>
    </row>
    <row r="22" spans="2:15">
      <c r="B22" s="399"/>
      <c r="C22" s="400"/>
      <c r="D22" s="400"/>
      <c r="E22" s="400"/>
      <c r="F22" s="401"/>
      <c r="G22" s="420"/>
      <c r="H22" s="420"/>
      <c r="I22" s="403"/>
      <c r="J22" s="403"/>
      <c r="K22" s="403"/>
      <c r="L22" s="404"/>
      <c r="M22" s="367"/>
    </row>
    <row r="23" spans="2:15">
      <c r="B23" s="399"/>
      <c r="C23" s="400"/>
      <c r="D23" s="400"/>
      <c r="E23" s="400"/>
      <c r="F23" s="401"/>
      <c r="G23" s="402"/>
      <c r="H23" s="402"/>
      <c r="I23" s="403"/>
      <c r="J23" s="403"/>
      <c r="K23" s="403"/>
      <c r="L23" s="404"/>
      <c r="M23" s="367"/>
    </row>
    <row r="24" spans="2:15">
      <c r="B24" s="399"/>
      <c r="C24" s="400"/>
      <c r="D24" s="400"/>
      <c r="E24" s="400"/>
      <c r="F24" s="401"/>
      <c r="G24" s="402"/>
      <c r="H24" s="402"/>
      <c r="I24" s="403"/>
      <c r="J24" s="403"/>
      <c r="K24" s="403"/>
      <c r="L24" s="404"/>
      <c r="M24" s="367"/>
    </row>
    <row r="25" spans="2:15">
      <c r="B25" s="399"/>
      <c r="C25" s="400"/>
      <c r="D25" s="400"/>
      <c r="E25" s="400"/>
      <c r="F25" s="401"/>
      <c r="G25" s="402"/>
      <c r="H25" s="402"/>
      <c r="I25" s="403"/>
      <c r="J25" s="403"/>
      <c r="K25" s="403"/>
      <c r="L25" s="404"/>
      <c r="M25" s="367"/>
    </row>
    <row r="26" spans="2:15">
      <c r="B26" s="399"/>
      <c r="C26" s="400"/>
      <c r="D26" s="400"/>
      <c r="E26" s="400"/>
      <c r="F26" s="401"/>
      <c r="G26" s="402"/>
      <c r="H26" s="402"/>
      <c r="I26" s="403"/>
      <c r="J26" s="403"/>
      <c r="K26" s="403"/>
      <c r="L26" s="404"/>
      <c r="M26" s="367"/>
    </row>
    <row r="27" spans="2:15">
      <c r="B27" s="399"/>
      <c r="C27" s="400"/>
      <c r="D27" s="400"/>
      <c r="E27" s="400"/>
      <c r="F27" s="401"/>
      <c r="G27" s="402"/>
      <c r="H27" s="402"/>
      <c r="I27" s="403"/>
      <c r="J27" s="403"/>
      <c r="K27" s="403"/>
      <c r="L27" s="404"/>
      <c r="M27" s="367"/>
    </row>
    <row r="28" spans="2:15">
      <c r="B28" s="399"/>
      <c r="C28" s="400"/>
      <c r="D28" s="400"/>
      <c r="E28" s="400"/>
      <c r="F28" s="401"/>
      <c r="G28" s="402"/>
      <c r="H28" s="402"/>
      <c r="I28" s="403"/>
      <c r="J28" s="403"/>
      <c r="K28" s="403"/>
      <c r="L28" s="404"/>
      <c r="M28" s="367"/>
    </row>
    <row r="29" spans="2:15">
      <c r="B29" s="399"/>
      <c r="C29" s="400"/>
      <c r="D29" s="400"/>
      <c r="E29" s="400"/>
      <c r="F29" s="401"/>
      <c r="G29" s="402"/>
      <c r="H29" s="402"/>
      <c r="I29" s="403"/>
      <c r="J29" s="403"/>
      <c r="K29" s="403"/>
      <c r="L29" s="404"/>
      <c r="M29" s="367"/>
    </row>
    <row r="30" spans="2:15">
      <c r="B30" s="399"/>
      <c r="C30" s="400"/>
      <c r="D30" s="400"/>
      <c r="E30" s="400"/>
      <c r="F30" s="401"/>
      <c r="G30" s="402"/>
      <c r="H30" s="402"/>
      <c r="K30" s="405"/>
      <c r="L30" s="404"/>
      <c r="M30" s="367"/>
    </row>
    <row r="31" spans="2:15">
      <c r="B31" s="399"/>
      <c r="C31" s="400"/>
      <c r="D31" s="400"/>
      <c r="E31" s="400"/>
      <c r="F31" s="401"/>
      <c r="G31" s="402"/>
      <c r="H31" s="402"/>
      <c r="L31" s="404"/>
      <c r="M31" s="367"/>
    </row>
    <row r="32" spans="2:15">
      <c r="B32" s="399"/>
      <c r="C32" s="400"/>
      <c r="D32" s="400"/>
      <c r="E32" s="400"/>
      <c r="F32" s="401"/>
      <c r="G32" s="402"/>
      <c r="H32" s="402"/>
      <c r="L32" s="404"/>
      <c r="M32" s="367"/>
    </row>
    <row r="33" spans="2:13">
      <c r="B33" s="399"/>
      <c r="C33" s="400"/>
      <c r="D33" s="400"/>
      <c r="E33" s="400"/>
      <c r="F33" s="401"/>
      <c r="G33" s="402"/>
      <c r="H33" s="402"/>
      <c r="L33" s="404"/>
      <c r="M33" s="367"/>
    </row>
    <row r="34" spans="2:13">
      <c r="B34" s="399"/>
      <c r="C34" s="400"/>
      <c r="D34" s="400"/>
      <c r="E34" s="400"/>
      <c r="F34" s="401"/>
      <c r="G34" s="402"/>
      <c r="H34" s="402"/>
      <c r="L34" s="404"/>
      <c r="M34" s="367"/>
    </row>
    <row r="35" spans="2:13">
      <c r="B35" s="399"/>
      <c r="C35" s="400"/>
      <c r="D35" s="400"/>
      <c r="E35" s="400"/>
      <c r="F35" s="401"/>
      <c r="G35" s="402"/>
      <c r="H35" s="402"/>
      <c r="L35" s="404"/>
      <c r="M35" s="367"/>
    </row>
    <row r="36" spans="2:13">
      <c r="L36" s="406"/>
    </row>
  </sheetData>
  <mergeCells count="9">
    <mergeCell ref="B3:L4"/>
    <mergeCell ref="F19:G19"/>
    <mergeCell ref="F20:G20"/>
    <mergeCell ref="B5:C5"/>
    <mergeCell ref="D5:E5"/>
    <mergeCell ref="F5:F6"/>
    <mergeCell ref="G5:H5"/>
    <mergeCell ref="I5:J5"/>
    <mergeCell ref="K5:L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2"/>
  <sheetViews>
    <sheetView workbookViewId="0">
      <selection activeCell="B1" sqref="B1:B2"/>
    </sheetView>
  </sheetViews>
  <sheetFormatPr defaultRowHeight="12.75"/>
  <cols>
    <col min="2" max="2" width="20.7109375" customWidth="1"/>
    <col min="3" max="3" width="42.28515625" customWidth="1"/>
    <col min="4" max="4" width="20.7109375" customWidth="1"/>
    <col min="5" max="5" width="44.42578125" customWidth="1"/>
  </cols>
  <sheetData>
    <row r="1" spans="2:5">
      <c r="B1" s="523" t="s">
        <v>724</v>
      </c>
      <c r="C1" s="507"/>
      <c r="D1" s="507"/>
      <c r="E1" s="508"/>
    </row>
    <row r="2" spans="2:5">
      <c r="B2" s="510" t="s">
        <v>725</v>
      </c>
      <c r="C2" s="506"/>
      <c r="D2" s="506"/>
      <c r="E2" s="509"/>
    </row>
    <row r="3" spans="2:5">
      <c r="B3" s="1639" t="s">
        <v>649</v>
      </c>
      <c r="C3" s="1640"/>
      <c r="D3" s="1640"/>
      <c r="E3" s="1641"/>
    </row>
    <row r="4" spans="2:5">
      <c r="B4" s="1642"/>
      <c r="C4" s="1643"/>
      <c r="D4" s="1643"/>
      <c r="E4" s="1644"/>
    </row>
    <row r="5" spans="2:5">
      <c r="B5" s="1645" t="s">
        <v>650</v>
      </c>
      <c r="C5" s="1646"/>
      <c r="D5" s="1651" t="s">
        <v>651</v>
      </c>
      <c r="E5" s="1652"/>
    </row>
    <row r="6" spans="2:5">
      <c r="B6" s="1647"/>
      <c r="C6" s="1648"/>
      <c r="D6" s="1651"/>
      <c r="E6" s="1652"/>
    </row>
    <row r="7" spans="2:5">
      <c r="B7" s="1649"/>
      <c r="C7" s="1650"/>
      <c r="D7" s="1651"/>
      <c r="E7" s="1652"/>
    </row>
    <row r="8" spans="2:5">
      <c r="B8" s="539" t="s">
        <v>593</v>
      </c>
      <c r="C8" s="435"/>
      <c r="D8" s="434"/>
      <c r="E8" s="538"/>
    </row>
    <row r="9" spans="2:5">
      <c r="B9" s="537"/>
      <c r="C9" s="435"/>
      <c r="D9" s="434"/>
      <c r="E9" s="538"/>
    </row>
    <row r="10" spans="2:5">
      <c r="B10" s="537"/>
      <c r="C10" s="435"/>
      <c r="D10" s="434"/>
      <c r="E10" s="538"/>
    </row>
    <row r="11" spans="2:5">
      <c r="B11" s="537"/>
      <c r="C11" s="435"/>
      <c r="D11" s="434"/>
      <c r="E11" s="538"/>
    </row>
    <row r="12" spans="2:5">
      <c r="B12" s="537"/>
      <c r="C12" s="435"/>
      <c r="D12" s="434"/>
      <c r="E12" s="538"/>
    </row>
    <row r="13" spans="2:5">
      <c r="B13" s="537">
        <v>19</v>
      </c>
      <c r="C13" s="435"/>
      <c r="D13" s="434">
        <v>19</v>
      </c>
      <c r="E13" s="538"/>
    </row>
    <row r="14" spans="2:5">
      <c r="B14" s="537"/>
      <c r="C14" s="435">
        <v>0</v>
      </c>
      <c r="D14" s="434"/>
      <c r="E14" s="538">
        <v>1</v>
      </c>
    </row>
    <row r="15" spans="2:5">
      <c r="B15" s="537">
        <v>20</v>
      </c>
      <c r="C15" s="435"/>
      <c r="D15" s="434">
        <v>20</v>
      </c>
      <c r="E15" s="538"/>
    </row>
    <row r="16" spans="2:5">
      <c r="B16" s="537"/>
      <c r="C16" s="435"/>
      <c r="D16" s="434"/>
      <c r="E16" s="538"/>
    </row>
    <row r="17" spans="2:5">
      <c r="B17" s="539" t="s">
        <v>645</v>
      </c>
      <c r="C17" s="435"/>
      <c r="D17" s="434"/>
      <c r="E17" s="538"/>
    </row>
    <row r="18" spans="2:5">
      <c r="B18" s="537"/>
      <c r="C18" s="435"/>
      <c r="D18" s="434"/>
      <c r="E18" s="538"/>
    </row>
    <row r="19" spans="2:5">
      <c r="B19" s="537">
        <v>1</v>
      </c>
      <c r="C19" s="435"/>
      <c r="D19" s="434">
        <v>52</v>
      </c>
      <c r="E19" s="538"/>
    </row>
    <row r="20" spans="2:5">
      <c r="B20" s="537"/>
      <c r="C20" s="435">
        <v>0</v>
      </c>
      <c r="D20" s="434"/>
      <c r="E20" s="538">
        <v>2</v>
      </c>
    </row>
    <row r="21" spans="2:5">
      <c r="B21" s="537">
        <v>2</v>
      </c>
      <c r="C21" s="435"/>
      <c r="D21" s="434">
        <v>53</v>
      </c>
      <c r="E21" s="538"/>
    </row>
    <row r="22" spans="2:5" ht="13.5" thickBot="1">
      <c r="B22" s="540"/>
      <c r="C22" s="541"/>
      <c r="D22" s="542" t="s">
        <v>20</v>
      </c>
      <c r="E22" s="543">
        <f>SUM(E9:E21)</f>
        <v>3</v>
      </c>
    </row>
  </sheetData>
  <mergeCells count="3">
    <mergeCell ref="B3:E4"/>
    <mergeCell ref="B5:C7"/>
    <mergeCell ref="D5:E7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6"/>
  <sheetViews>
    <sheetView workbookViewId="0">
      <selection activeCell="A10" sqref="A10:XFD15"/>
    </sheetView>
  </sheetViews>
  <sheetFormatPr defaultRowHeight="12.75"/>
  <cols>
    <col min="1" max="1" width="7.85546875" customWidth="1"/>
    <col min="2" max="2" width="6.85546875" customWidth="1"/>
    <col min="3" max="3" width="7.85546875" customWidth="1"/>
    <col min="4" max="4" width="6.85546875" customWidth="1"/>
    <col min="5" max="5" width="13.7109375" customWidth="1"/>
    <col min="6" max="6" width="9.28515625" customWidth="1"/>
    <col min="7" max="7" width="9.5703125" customWidth="1"/>
    <col min="8" max="8" width="12.42578125" customWidth="1"/>
    <col min="9" max="9" width="12.85546875" customWidth="1"/>
    <col min="10" max="10" width="11" customWidth="1"/>
    <col min="11" max="11" width="14.85546875" customWidth="1"/>
  </cols>
  <sheetData>
    <row r="1" spans="1:13" ht="12.75" customHeight="1">
      <c r="A1" s="523" t="s">
        <v>724</v>
      </c>
      <c r="B1" s="511"/>
      <c r="C1" s="511"/>
      <c r="D1" s="511"/>
      <c r="E1" s="507"/>
      <c r="F1" s="512"/>
      <c r="G1" s="512"/>
      <c r="H1" s="512"/>
      <c r="I1" s="512"/>
      <c r="J1" s="512"/>
      <c r="K1" s="516"/>
    </row>
    <row r="2" spans="1:13" ht="12.75" customHeight="1">
      <c r="A2" s="510" t="s">
        <v>725</v>
      </c>
      <c r="B2" s="514"/>
      <c r="C2" s="514"/>
      <c r="D2" s="514"/>
      <c r="E2" s="506"/>
      <c r="F2" s="515"/>
      <c r="G2" s="515"/>
      <c r="H2" s="515"/>
      <c r="I2" s="515"/>
      <c r="J2" s="515"/>
      <c r="K2" s="518"/>
    </row>
    <row r="3" spans="1:13" ht="12.75" customHeight="1">
      <c r="A3" s="944"/>
      <c r="B3" s="945"/>
      <c r="C3" s="945"/>
      <c r="D3" s="945"/>
      <c r="E3" s="946"/>
      <c r="F3" s="946"/>
      <c r="G3" s="946"/>
      <c r="H3" s="946"/>
      <c r="I3" s="946"/>
      <c r="J3" s="946"/>
      <c r="K3" s="947"/>
    </row>
    <row r="4" spans="1:13" ht="13.5" customHeight="1">
      <c r="A4" s="1653" t="s">
        <v>796</v>
      </c>
      <c r="B4" s="1653"/>
      <c r="C4" s="1653"/>
      <c r="D4" s="1653"/>
      <c r="E4" s="1653"/>
      <c r="F4" s="1653"/>
      <c r="G4" s="1653"/>
      <c r="H4" s="1653"/>
      <c r="I4" s="1653"/>
      <c r="J4" s="1653"/>
      <c r="K4" s="1653"/>
    </row>
    <row r="5" spans="1:13">
      <c r="A5" s="1654" t="s">
        <v>566</v>
      </c>
      <c r="B5" s="1654"/>
      <c r="C5" s="1654" t="s">
        <v>567</v>
      </c>
      <c r="D5" s="1654"/>
      <c r="E5" s="941" t="s">
        <v>636</v>
      </c>
      <c r="F5" s="1655" t="s">
        <v>711</v>
      </c>
      <c r="G5" s="1656"/>
      <c r="H5" s="1657" t="s">
        <v>638</v>
      </c>
      <c r="I5" s="1658"/>
      <c r="J5" s="1657" t="s">
        <v>638</v>
      </c>
      <c r="K5" s="1658"/>
    </row>
    <row r="6" spans="1:13">
      <c r="A6" s="481" t="s">
        <v>577</v>
      </c>
      <c r="B6" s="481" t="s">
        <v>108</v>
      </c>
      <c r="C6" s="481" t="s">
        <v>577</v>
      </c>
      <c r="D6" s="481" t="s">
        <v>108</v>
      </c>
      <c r="E6" s="500"/>
      <c r="F6" s="501" t="s">
        <v>641</v>
      </c>
      <c r="G6" s="501" t="s">
        <v>642</v>
      </c>
      <c r="H6" s="942" t="s">
        <v>641</v>
      </c>
      <c r="I6" s="943" t="s">
        <v>642</v>
      </c>
      <c r="J6" s="942" t="s">
        <v>20</v>
      </c>
      <c r="K6" s="943" t="s">
        <v>643</v>
      </c>
    </row>
    <row r="7" spans="1:13">
      <c r="A7" s="948"/>
      <c r="B7" s="387"/>
      <c r="C7" s="385"/>
      <c r="D7" s="382"/>
      <c r="E7" s="383"/>
      <c r="F7" s="386"/>
      <c r="G7" s="386"/>
      <c r="H7" s="384"/>
      <c r="I7" s="384"/>
      <c r="J7" s="384"/>
      <c r="K7" s="949"/>
    </row>
    <row r="8" spans="1:13">
      <c r="A8" s="950" t="s">
        <v>705</v>
      </c>
      <c r="B8" s="387"/>
      <c r="C8" s="385"/>
      <c r="D8" s="382"/>
      <c r="E8" s="383"/>
      <c r="F8" s="386"/>
      <c r="G8" s="386"/>
      <c r="H8" s="384"/>
      <c r="I8" s="384"/>
      <c r="J8" s="384"/>
      <c r="K8" s="949"/>
    </row>
    <row r="9" spans="1:13">
      <c r="A9" s="464">
        <v>0</v>
      </c>
      <c r="B9" s="382"/>
      <c r="C9" s="464">
        <v>142</v>
      </c>
      <c r="D9" s="382">
        <v>0</v>
      </c>
      <c r="E9" s="383">
        <f>TRUNC(((C9-A9)*20)+(D9-B9),3)</f>
        <v>2840</v>
      </c>
      <c r="F9" s="433">
        <v>10.706156796694493</v>
      </c>
      <c r="G9" s="386">
        <v>11.110636368311415</v>
      </c>
      <c r="H9" s="384">
        <f>TRUNC((E9*F9),3)</f>
        <v>30405.485000000001</v>
      </c>
      <c r="I9" s="384">
        <f>TRUNC((E9*G9),3)</f>
        <v>31554.206999999999</v>
      </c>
      <c r="J9" s="384">
        <f>SUM(H9:I9)</f>
        <v>61959.691999999995</v>
      </c>
      <c r="K9" s="951">
        <f>J9+K8</f>
        <v>61959.691999999995</v>
      </c>
    </row>
    <row r="10" spans="1:13">
      <c r="A10" s="948"/>
      <c r="B10" s="387"/>
      <c r="C10" s="385"/>
      <c r="D10" s="382"/>
      <c r="E10" s="383"/>
      <c r="F10" s="433"/>
      <c r="G10" s="386"/>
      <c r="H10" s="384"/>
      <c r="I10" s="384"/>
      <c r="J10" s="384"/>
      <c r="K10" s="951"/>
    </row>
    <row r="11" spans="1:13">
      <c r="A11" s="952" t="s">
        <v>834</v>
      </c>
      <c r="B11" s="387"/>
      <c r="C11" s="385"/>
      <c r="D11" s="382"/>
      <c r="E11" s="383"/>
      <c r="F11" s="433"/>
      <c r="G11" s="386"/>
      <c r="H11" s="384"/>
      <c r="I11" s="384"/>
      <c r="J11" s="384"/>
      <c r="K11" s="951"/>
    </row>
    <row r="12" spans="1:13">
      <c r="A12" s="948" t="s">
        <v>706</v>
      </c>
      <c r="B12" s="387"/>
      <c r="C12" s="385"/>
      <c r="D12" s="382"/>
      <c r="E12" s="383"/>
      <c r="F12" s="433"/>
      <c r="G12" s="386"/>
      <c r="H12" s="384"/>
      <c r="I12" s="384"/>
      <c r="J12" s="384">
        <v>73950</v>
      </c>
      <c r="K12" s="951">
        <v>73950</v>
      </c>
    </row>
    <row r="13" spans="1:13">
      <c r="A13" s="948"/>
      <c r="B13" s="387"/>
      <c r="C13" s="385"/>
      <c r="D13" s="382"/>
      <c r="E13" s="383"/>
      <c r="F13" s="433"/>
      <c r="G13" s="386"/>
      <c r="H13" s="384"/>
      <c r="I13" s="384"/>
      <c r="J13" s="384"/>
      <c r="K13" s="951"/>
    </row>
    <row r="14" spans="1:13">
      <c r="A14" s="948"/>
      <c r="B14" s="387"/>
      <c r="C14" s="385"/>
      <c r="D14" s="382"/>
      <c r="E14" s="383"/>
      <c r="F14" s="433"/>
      <c r="G14" s="386"/>
      <c r="H14" s="384"/>
      <c r="I14" s="384"/>
      <c r="J14" s="384"/>
      <c r="K14" s="951"/>
    </row>
    <row r="15" spans="1:13">
      <c r="A15" s="948"/>
      <c r="B15" s="387"/>
      <c r="C15" s="385"/>
      <c r="D15" s="382"/>
      <c r="E15" s="383"/>
      <c r="F15" s="433"/>
      <c r="G15" s="386"/>
      <c r="H15" s="384"/>
      <c r="I15" s="384"/>
      <c r="J15" s="384"/>
      <c r="K15" s="951">
        <f>K9+K12</f>
        <v>135909.69199999998</v>
      </c>
    </row>
    <row r="16" spans="1:13" ht="13.5" thickBot="1">
      <c r="A16" s="472"/>
      <c r="B16" s="473"/>
      <c r="C16" s="473"/>
      <c r="D16" s="473"/>
      <c r="E16" s="473"/>
      <c r="F16" s="473"/>
      <c r="G16" s="474"/>
      <c r="H16" s="475"/>
      <c r="I16" s="475"/>
      <c r="J16" s="475"/>
      <c r="K16" s="476"/>
      <c r="M16" s="381"/>
    </row>
  </sheetData>
  <mergeCells count="6">
    <mergeCell ref="A4:K4"/>
    <mergeCell ref="A5:B5"/>
    <mergeCell ref="C5:D5"/>
    <mergeCell ref="F5:G5"/>
    <mergeCell ref="H5:I5"/>
    <mergeCell ref="J5:K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3"/>
  <sheetViews>
    <sheetView workbookViewId="0">
      <selection activeCell="K13" sqref="A1:K13"/>
    </sheetView>
  </sheetViews>
  <sheetFormatPr defaultRowHeight="12.75"/>
  <cols>
    <col min="1" max="1" width="7.85546875" customWidth="1"/>
    <col min="2" max="2" width="6.85546875" customWidth="1"/>
    <col min="3" max="3" width="7.85546875" customWidth="1"/>
    <col min="4" max="4" width="6.85546875" customWidth="1"/>
    <col min="5" max="5" width="16.5703125" customWidth="1"/>
    <col min="6" max="6" width="15.85546875" customWidth="1"/>
    <col min="7" max="7" width="16.28515625" customWidth="1"/>
    <col min="8" max="9" width="16.5703125" customWidth="1"/>
    <col min="10" max="10" width="13" customWidth="1"/>
    <col min="11" max="11" width="19.85546875" customWidth="1"/>
    <col min="13" max="13" width="12.5703125" bestFit="1" customWidth="1"/>
  </cols>
  <sheetData>
    <row r="1" spans="1:14" ht="12.75" customHeight="1">
      <c r="A1" s="519" t="s">
        <v>632</v>
      </c>
      <c r="B1" s="511"/>
      <c r="C1" s="511"/>
      <c r="D1" s="511"/>
      <c r="E1" s="507"/>
      <c r="F1" s="512"/>
      <c r="G1" s="512"/>
      <c r="H1" s="512"/>
      <c r="I1" s="512"/>
      <c r="J1" s="512"/>
      <c r="K1" s="516"/>
    </row>
    <row r="2" spans="1:14" ht="12.75" customHeight="1">
      <c r="A2" s="520" t="s">
        <v>715</v>
      </c>
      <c r="B2" s="514"/>
      <c r="C2" s="514"/>
      <c r="D2" s="514"/>
      <c r="E2" s="506"/>
      <c r="F2" s="515"/>
      <c r="G2" s="515"/>
      <c r="H2" s="515"/>
      <c r="I2" s="515"/>
      <c r="J2" s="515"/>
      <c r="K2" s="518"/>
    </row>
    <row r="3" spans="1:14" ht="12.75" customHeight="1">
      <c r="A3" s="520" t="s">
        <v>716</v>
      </c>
      <c r="B3" s="514"/>
      <c r="C3" s="514"/>
      <c r="D3" s="514"/>
      <c r="E3" s="506"/>
      <c r="F3" s="515"/>
      <c r="G3" s="515"/>
      <c r="H3" s="515"/>
      <c r="I3" s="515"/>
      <c r="J3" s="515"/>
      <c r="K3" s="518"/>
    </row>
    <row r="4" spans="1:14" ht="12.75" customHeight="1">
      <c r="A4" s="513"/>
      <c r="B4" s="514"/>
      <c r="C4" s="514"/>
      <c r="D4" s="514"/>
      <c r="E4" s="515"/>
      <c r="F4" s="515"/>
      <c r="G4" s="515"/>
      <c r="H4" s="515"/>
      <c r="I4" s="515"/>
      <c r="J4" s="515"/>
      <c r="K4" s="517"/>
    </row>
    <row r="5" spans="1:14" ht="13.5" customHeight="1">
      <c r="A5" s="1659" t="s">
        <v>829</v>
      </c>
      <c r="B5" s="1653"/>
      <c r="C5" s="1653"/>
      <c r="D5" s="1653"/>
      <c r="E5" s="1653"/>
      <c r="F5" s="1653"/>
      <c r="G5" s="1653"/>
      <c r="H5" s="1653"/>
      <c r="I5" s="1653"/>
      <c r="J5" s="1653"/>
      <c r="K5" s="1660"/>
    </row>
    <row r="6" spans="1:14">
      <c r="A6" s="1661" t="s">
        <v>566</v>
      </c>
      <c r="B6" s="1654"/>
      <c r="C6" s="1654" t="s">
        <v>567</v>
      </c>
      <c r="D6" s="1654"/>
      <c r="E6" s="499" t="s">
        <v>636</v>
      </c>
      <c r="F6" s="1655" t="s">
        <v>711</v>
      </c>
      <c r="G6" s="1656"/>
      <c r="H6" s="1657" t="s">
        <v>638</v>
      </c>
      <c r="I6" s="1658"/>
      <c r="J6" s="1657" t="s">
        <v>638</v>
      </c>
      <c r="K6" s="1662"/>
    </row>
    <row r="7" spans="1:14" ht="22.5">
      <c r="A7" s="480" t="s">
        <v>577</v>
      </c>
      <c r="B7" s="481" t="s">
        <v>108</v>
      </c>
      <c r="C7" s="481" t="s">
        <v>577</v>
      </c>
      <c r="D7" s="481" t="s">
        <v>108</v>
      </c>
      <c r="E7" s="500"/>
      <c r="F7" s="501" t="s">
        <v>703</v>
      </c>
      <c r="G7" s="501" t="s">
        <v>704</v>
      </c>
      <c r="H7" s="500" t="s">
        <v>641</v>
      </c>
      <c r="I7" s="502" t="s">
        <v>642</v>
      </c>
      <c r="J7" s="500" t="s">
        <v>20</v>
      </c>
      <c r="K7" s="503" t="s">
        <v>643</v>
      </c>
      <c r="M7" s="477" t="s">
        <v>708</v>
      </c>
      <c r="N7" s="477" t="s">
        <v>709</v>
      </c>
    </row>
    <row r="8" spans="1:14">
      <c r="A8" s="468"/>
      <c r="B8" s="387"/>
      <c r="C8" s="385"/>
      <c r="D8" s="382"/>
      <c r="E8" s="383"/>
      <c r="F8" s="386"/>
      <c r="G8" s="386"/>
      <c r="H8" s="384"/>
      <c r="I8" s="384"/>
      <c r="J8" s="384"/>
      <c r="K8" s="465"/>
    </row>
    <row r="9" spans="1:14">
      <c r="A9" s="467" t="s">
        <v>705</v>
      </c>
      <c r="B9" s="387"/>
      <c r="C9" s="385"/>
      <c r="D9" s="382"/>
      <c r="E9" s="383"/>
      <c r="F9" s="386"/>
      <c r="G9" s="386"/>
      <c r="H9" s="384"/>
      <c r="I9" s="384"/>
      <c r="J9" s="384"/>
      <c r="K9" s="465"/>
    </row>
    <row r="10" spans="1:14">
      <c r="A10" s="463">
        <v>0</v>
      </c>
      <c r="B10" s="382"/>
      <c r="C10" s="464">
        <v>142</v>
      </c>
      <c r="D10" s="382">
        <v>0</v>
      </c>
      <c r="E10" s="383">
        <f>TRUNC(((C10-A10)*20)+(D10-B10),3)</f>
        <v>2840</v>
      </c>
      <c r="F10" s="433">
        <f>IF(M10&lt;0,-M10*1.8+5,M10*1.4+5)</f>
        <v>7.5718933333333345</v>
      </c>
      <c r="G10" s="386">
        <f>IF(N10&lt;0,-N10*1.8+5,N10*1.4+5)</f>
        <v>7.8579599999999985</v>
      </c>
      <c r="H10" s="384">
        <f>TRUNC((E10*F10),3)</f>
        <v>21504.177</v>
      </c>
      <c r="I10" s="384">
        <f>TRUNC((E10*G10),3)</f>
        <v>22316.606</v>
      </c>
      <c r="J10" s="384">
        <f>SUM(H10:I10)</f>
        <v>43820.782999999996</v>
      </c>
      <c r="K10" s="466">
        <f>J10+K9</f>
        <v>43820.782999999996</v>
      </c>
      <c r="M10">
        <v>-1.4288296296296303</v>
      </c>
      <c r="N10" s="478">
        <v>-1.5877555555555547</v>
      </c>
    </row>
    <row r="11" spans="1:14">
      <c r="A11" s="468"/>
      <c r="B11" s="387"/>
      <c r="C11" s="385"/>
      <c r="D11" s="382"/>
      <c r="E11" s="383"/>
      <c r="F11" s="433"/>
      <c r="G11" s="386"/>
      <c r="H11" s="384"/>
      <c r="I11" s="384"/>
      <c r="J11" s="384"/>
      <c r="K11" s="466"/>
    </row>
    <row r="12" spans="1:14">
      <c r="A12" s="468"/>
      <c r="B12" s="387"/>
      <c r="C12" s="385"/>
      <c r="D12" s="382"/>
      <c r="E12" s="383"/>
      <c r="F12" s="433"/>
      <c r="G12" s="386"/>
      <c r="H12" s="384"/>
      <c r="I12" s="384"/>
      <c r="J12" s="384"/>
      <c r="K12" s="466"/>
      <c r="M12" s="380"/>
    </row>
    <row r="13" spans="1:14" ht="13.5" thickBot="1">
      <c r="A13" s="472" t="s">
        <v>707</v>
      </c>
      <c r="B13" s="473"/>
      <c r="C13" s="473"/>
      <c r="D13" s="473"/>
      <c r="E13" s="473"/>
      <c r="F13" s="473"/>
      <c r="G13" s="474"/>
      <c r="H13" s="475"/>
      <c r="I13" s="475"/>
      <c r="J13" s="475"/>
      <c r="K13" s="476">
        <f>K10</f>
        <v>43820.782999999996</v>
      </c>
    </row>
  </sheetData>
  <mergeCells count="6">
    <mergeCell ref="A5:K5"/>
    <mergeCell ref="A6:B6"/>
    <mergeCell ref="C6:D6"/>
    <mergeCell ref="F6:G6"/>
    <mergeCell ref="H6:I6"/>
    <mergeCell ref="J6:K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2"/>
  <sheetViews>
    <sheetView workbookViewId="0">
      <selection activeCell="K12" sqref="A1:K12"/>
    </sheetView>
  </sheetViews>
  <sheetFormatPr defaultRowHeight="12.75"/>
  <cols>
    <col min="1" max="1" width="7.85546875" customWidth="1"/>
    <col min="2" max="2" width="6.85546875" customWidth="1"/>
    <col min="3" max="3" width="7.85546875" customWidth="1"/>
    <col min="4" max="4" width="6.85546875" customWidth="1"/>
    <col min="5" max="5" width="13.28515625" customWidth="1"/>
    <col min="6" max="6" width="11.7109375" customWidth="1"/>
    <col min="7" max="7" width="13" customWidth="1"/>
    <col min="8" max="8" width="11.5703125" customWidth="1"/>
    <col min="9" max="10" width="10.5703125" customWidth="1"/>
    <col min="11" max="11" width="19.85546875" customWidth="1"/>
    <col min="13" max="13" width="12.5703125" bestFit="1" customWidth="1"/>
  </cols>
  <sheetData>
    <row r="1" spans="1:14" ht="12.75" customHeight="1">
      <c r="A1" s="519" t="s">
        <v>632</v>
      </c>
      <c r="B1" s="511"/>
      <c r="C1" s="511"/>
      <c r="D1" s="511"/>
      <c r="E1" s="507"/>
      <c r="F1" s="512"/>
      <c r="G1" s="512"/>
      <c r="H1" s="512"/>
      <c r="I1" s="512"/>
      <c r="J1" s="512"/>
      <c r="K1" s="516"/>
    </row>
    <row r="2" spans="1:14" ht="12.75" customHeight="1">
      <c r="A2" s="520" t="s">
        <v>715</v>
      </c>
      <c r="B2" s="514"/>
      <c r="C2" s="514"/>
      <c r="D2" s="514"/>
      <c r="E2" s="506"/>
      <c r="F2" s="515"/>
      <c r="G2" s="515"/>
      <c r="H2" s="515"/>
      <c r="I2" s="515"/>
      <c r="J2" s="515"/>
      <c r="K2" s="518"/>
    </row>
    <row r="3" spans="1:14" ht="12.75" customHeight="1">
      <c r="A3" s="520" t="s">
        <v>716</v>
      </c>
      <c r="B3" s="514"/>
      <c r="C3" s="514"/>
      <c r="D3" s="514"/>
      <c r="E3" s="506"/>
      <c r="F3" s="515"/>
      <c r="G3" s="515"/>
      <c r="H3" s="515"/>
      <c r="I3" s="515"/>
      <c r="J3" s="515"/>
      <c r="K3" s="518"/>
    </row>
    <row r="4" spans="1:14" ht="12.75" customHeight="1">
      <c r="A4" s="513"/>
      <c r="B4" s="514"/>
      <c r="C4" s="514"/>
      <c r="D4" s="514"/>
      <c r="E4" s="515"/>
      <c r="F4" s="515"/>
      <c r="G4" s="515"/>
      <c r="H4" s="515"/>
      <c r="I4" s="515"/>
      <c r="J4" s="515"/>
      <c r="K4" s="517"/>
    </row>
    <row r="5" spans="1:14" ht="13.5" customHeight="1">
      <c r="A5" s="1659" t="s">
        <v>905</v>
      </c>
      <c r="B5" s="1653"/>
      <c r="C5" s="1653"/>
      <c r="D5" s="1653"/>
      <c r="E5" s="1653"/>
      <c r="F5" s="1653"/>
      <c r="G5" s="1653"/>
      <c r="H5" s="1653"/>
      <c r="I5" s="1653"/>
      <c r="J5" s="1653"/>
      <c r="K5" s="1660"/>
    </row>
    <row r="6" spans="1:14">
      <c r="A6" s="1661" t="s">
        <v>566</v>
      </c>
      <c r="B6" s="1654"/>
      <c r="C6" s="1654" t="s">
        <v>567</v>
      </c>
      <c r="D6" s="1654"/>
      <c r="E6" s="941" t="s">
        <v>636</v>
      </c>
      <c r="F6" s="1655" t="s">
        <v>711</v>
      </c>
      <c r="G6" s="1656"/>
      <c r="H6" s="1657" t="s">
        <v>638</v>
      </c>
      <c r="I6" s="1658"/>
      <c r="J6" s="1657" t="s">
        <v>638</v>
      </c>
      <c r="K6" s="1662"/>
    </row>
    <row r="7" spans="1:14" ht="28.5" customHeight="1">
      <c r="A7" s="480" t="s">
        <v>577</v>
      </c>
      <c r="B7" s="481" t="s">
        <v>108</v>
      </c>
      <c r="C7" s="481" t="s">
        <v>577</v>
      </c>
      <c r="D7" s="481" t="s">
        <v>108</v>
      </c>
      <c r="E7" s="500"/>
      <c r="F7" s="501" t="s">
        <v>703</v>
      </c>
      <c r="G7" s="501" t="s">
        <v>704</v>
      </c>
      <c r="H7" s="942" t="s">
        <v>641</v>
      </c>
      <c r="I7" s="943" t="s">
        <v>642</v>
      </c>
      <c r="J7" s="500" t="s">
        <v>20</v>
      </c>
      <c r="K7" s="503" t="s">
        <v>643</v>
      </c>
      <c r="M7" s="477" t="s">
        <v>708</v>
      </c>
      <c r="N7" s="477" t="s">
        <v>709</v>
      </c>
    </row>
    <row r="8" spans="1:14">
      <c r="A8" s="468"/>
      <c r="B8" s="387"/>
      <c r="C8" s="385"/>
      <c r="D8" s="382"/>
      <c r="E8" s="383"/>
      <c r="F8" s="433"/>
      <c r="G8" s="386"/>
      <c r="H8" s="384"/>
      <c r="I8" s="384"/>
      <c r="J8" s="384"/>
      <c r="K8" s="466"/>
      <c r="M8" s="380"/>
    </row>
    <row r="9" spans="1:14">
      <c r="A9" s="469" t="s">
        <v>833</v>
      </c>
      <c r="B9" s="426"/>
      <c r="C9" s="392"/>
      <c r="D9" s="392"/>
      <c r="E9" s="383"/>
      <c r="F9" s="431"/>
      <c r="G9" s="431"/>
      <c r="H9" s="384"/>
      <c r="I9" s="384"/>
      <c r="J9" s="384"/>
      <c r="K9" s="466"/>
    </row>
    <row r="10" spans="1:14">
      <c r="A10" s="470" t="s">
        <v>706</v>
      </c>
      <c r="B10" s="427"/>
      <c r="C10" s="392"/>
      <c r="D10" s="392"/>
      <c r="E10" s="428"/>
      <c r="F10" s="428"/>
      <c r="G10" s="428"/>
      <c r="H10" s="384"/>
      <c r="I10" s="384"/>
      <c r="J10" s="407">
        <v>73950</v>
      </c>
      <c r="K10" s="466">
        <f>J10</f>
        <v>73950</v>
      </c>
    </row>
    <row r="11" spans="1:14">
      <c r="A11" s="468"/>
      <c r="B11" s="387"/>
      <c r="C11" s="385"/>
      <c r="D11" s="382"/>
      <c r="E11" s="383"/>
      <c r="F11" s="433"/>
      <c r="G11" s="386"/>
      <c r="H11" s="384"/>
      <c r="I11" s="384"/>
      <c r="J11" s="384"/>
      <c r="K11" s="466"/>
    </row>
    <row r="12" spans="1:14" ht="13.5" thickBot="1">
      <c r="A12" s="472" t="s">
        <v>707</v>
      </c>
      <c r="B12" s="473"/>
      <c r="C12" s="473"/>
      <c r="D12" s="473"/>
      <c r="E12" s="473"/>
      <c r="F12" s="473"/>
      <c r="G12" s="474"/>
      <c r="H12" s="475"/>
      <c r="I12" s="475"/>
      <c r="J12" s="475"/>
      <c r="K12" s="476">
        <f>K10</f>
        <v>73950</v>
      </c>
    </row>
  </sheetData>
  <mergeCells count="6">
    <mergeCell ref="A5:K5"/>
    <mergeCell ref="A6:B6"/>
    <mergeCell ref="C6:D6"/>
    <mergeCell ref="F6:G6"/>
    <mergeCell ref="H6:I6"/>
    <mergeCell ref="J6:K6"/>
  </mergeCells>
  <printOptions horizontalCentered="1"/>
  <pageMargins left="0.51181102362204722" right="0.39370078740157483" top="1.1811023622047245" bottom="0.78740157480314965" header="0.31496062992125984" footer="0.31496062992125984"/>
  <pageSetup paperSize="9" scale="7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workbookViewId="0">
      <selection activeCell="P12" sqref="A1:P12"/>
    </sheetView>
  </sheetViews>
  <sheetFormatPr defaultRowHeight="12.75"/>
  <cols>
    <col min="1" max="1" width="5.7109375" customWidth="1"/>
    <col min="2" max="2" width="1.42578125" customWidth="1"/>
    <col min="3" max="4" width="5.7109375" customWidth="1"/>
    <col min="5" max="5" width="1.42578125" customWidth="1"/>
    <col min="6" max="6" width="5.7109375" customWidth="1"/>
    <col min="7" max="7" width="14.28515625" customWidth="1"/>
    <col min="8" max="8" width="19.7109375" customWidth="1"/>
    <col min="9" max="9" width="5.7109375" customWidth="1"/>
    <col min="10" max="10" width="1.42578125" customWidth="1"/>
    <col min="11" max="12" width="5.7109375" customWidth="1"/>
    <col min="13" max="13" width="1.42578125" customWidth="1"/>
    <col min="14" max="14" width="5.7109375" customWidth="1"/>
    <col min="15" max="15" width="14.28515625" customWidth="1"/>
    <col min="16" max="16" width="19.7109375" customWidth="1"/>
    <col min="17" max="17" width="2.42578125" customWidth="1"/>
  </cols>
  <sheetData>
    <row r="1" spans="1:18">
      <c r="A1" s="1517" t="s">
        <v>724</v>
      </c>
      <c r="B1" s="1517"/>
      <c r="C1" s="1517"/>
      <c r="D1" s="1517"/>
      <c r="E1" s="1517"/>
      <c r="F1" s="1517"/>
      <c r="G1" s="1517"/>
      <c r="H1" s="1517"/>
      <c r="I1" s="1517"/>
      <c r="J1" s="1517"/>
      <c r="K1" s="1517"/>
      <c r="L1" s="1517"/>
      <c r="M1" s="1517"/>
      <c r="N1" s="1517"/>
      <c r="O1" s="1517"/>
      <c r="P1" s="1517"/>
      <c r="Q1" s="482"/>
      <c r="R1" s="482"/>
    </row>
    <row r="2" spans="1:18">
      <c r="A2" s="1517" t="s">
        <v>725</v>
      </c>
      <c r="B2" s="1517"/>
      <c r="C2" s="1517"/>
      <c r="D2" s="1517"/>
      <c r="E2" s="1517"/>
      <c r="F2" s="1517"/>
      <c r="G2" s="1517"/>
      <c r="H2" s="1517"/>
      <c r="I2" s="1517"/>
      <c r="J2" s="1517"/>
      <c r="K2" s="1517"/>
      <c r="L2" s="1517"/>
      <c r="M2" s="1517"/>
      <c r="N2" s="1517"/>
      <c r="O2" s="1517"/>
      <c r="P2" s="1517"/>
      <c r="Q2" s="482"/>
      <c r="R2" s="482"/>
    </row>
    <row r="3" spans="1:18">
      <c r="A3" s="1671" t="s">
        <v>714</v>
      </c>
      <c r="B3" s="1672"/>
      <c r="C3" s="1672"/>
      <c r="D3" s="1672"/>
      <c r="E3" s="1672"/>
      <c r="F3" s="1672"/>
      <c r="G3" s="1672"/>
      <c r="H3" s="1672"/>
      <c r="I3" s="1672"/>
      <c r="J3" s="1672"/>
      <c r="K3" s="1672"/>
      <c r="L3" s="1672"/>
      <c r="M3" s="1672"/>
      <c r="N3" s="1672"/>
      <c r="O3" s="1672"/>
      <c r="P3" s="1673"/>
      <c r="Q3" s="482"/>
    </row>
    <row r="4" spans="1:18">
      <c r="A4" s="1664" t="s">
        <v>712</v>
      </c>
      <c r="B4" s="1664"/>
      <c r="C4" s="1664"/>
      <c r="D4" s="1664"/>
      <c r="E4" s="1664"/>
      <c r="F4" s="1664"/>
      <c r="G4" s="1664"/>
      <c r="H4" s="1664"/>
      <c r="I4" s="1664" t="s">
        <v>713</v>
      </c>
      <c r="J4" s="1664"/>
      <c r="K4" s="1664"/>
      <c r="L4" s="1664"/>
      <c r="M4" s="1664"/>
      <c r="N4" s="1664"/>
      <c r="O4" s="1664"/>
      <c r="P4" s="1664"/>
      <c r="Q4" s="482"/>
    </row>
    <row r="5" spans="1:18">
      <c r="A5" s="1664" t="s">
        <v>717</v>
      </c>
      <c r="B5" s="1664"/>
      <c r="C5" s="1664"/>
      <c r="D5" s="1664"/>
      <c r="E5" s="1664"/>
      <c r="F5" s="1664"/>
      <c r="G5" s="1664" t="s">
        <v>103</v>
      </c>
      <c r="H5" s="1665" t="s">
        <v>106</v>
      </c>
      <c r="I5" s="1664" t="s">
        <v>717</v>
      </c>
      <c r="J5" s="1664"/>
      <c r="K5" s="1664"/>
      <c r="L5" s="1664"/>
      <c r="M5" s="1664"/>
      <c r="N5" s="1664"/>
      <c r="O5" s="1664" t="s">
        <v>103</v>
      </c>
      <c r="P5" s="1665" t="s">
        <v>106</v>
      </c>
      <c r="Q5" s="482"/>
    </row>
    <row r="6" spans="1:18">
      <c r="A6" s="1664" t="s">
        <v>718</v>
      </c>
      <c r="B6" s="1664"/>
      <c r="C6" s="1664"/>
      <c r="D6" s="1664" t="s">
        <v>109</v>
      </c>
      <c r="E6" s="1664"/>
      <c r="F6" s="1664"/>
      <c r="G6" s="1664"/>
      <c r="H6" s="1665"/>
      <c r="I6" s="1664" t="s">
        <v>718</v>
      </c>
      <c r="J6" s="1664"/>
      <c r="K6" s="1664"/>
      <c r="L6" s="1664" t="s">
        <v>109</v>
      </c>
      <c r="M6" s="1664"/>
      <c r="N6" s="1664"/>
      <c r="O6" s="1664"/>
      <c r="P6" s="1665"/>
      <c r="Q6" s="482"/>
    </row>
    <row r="7" spans="1:18">
      <c r="A7" s="483">
        <v>0</v>
      </c>
      <c r="B7" s="484" t="s">
        <v>112</v>
      </c>
      <c r="C7" s="485">
        <v>0</v>
      </c>
      <c r="D7" s="483">
        <v>34</v>
      </c>
      <c r="E7" s="484" t="s">
        <v>112</v>
      </c>
      <c r="F7" s="485">
        <v>0</v>
      </c>
      <c r="G7" s="486">
        <v>680</v>
      </c>
      <c r="H7" s="487" t="s">
        <v>720</v>
      </c>
      <c r="I7" s="483">
        <v>0</v>
      </c>
      <c r="J7" s="484" t="s">
        <v>112</v>
      </c>
      <c r="K7" s="485">
        <v>0</v>
      </c>
      <c r="L7" s="483">
        <v>14</v>
      </c>
      <c r="M7" s="484" t="s">
        <v>112</v>
      </c>
      <c r="N7" s="485">
        <v>0</v>
      </c>
      <c r="O7" s="486">
        <v>280</v>
      </c>
      <c r="P7" s="487" t="s">
        <v>719</v>
      </c>
      <c r="Q7" s="482"/>
    </row>
    <row r="8" spans="1:18">
      <c r="A8" s="483">
        <v>34</v>
      </c>
      <c r="B8" s="484" t="s">
        <v>112</v>
      </c>
      <c r="C8" s="485">
        <v>0</v>
      </c>
      <c r="D8" s="483">
        <v>130</v>
      </c>
      <c r="E8" s="484" t="s">
        <v>112</v>
      </c>
      <c r="F8" s="485">
        <v>0</v>
      </c>
      <c r="G8" s="486">
        <v>1920</v>
      </c>
      <c r="H8" s="487" t="s">
        <v>720</v>
      </c>
      <c r="I8" s="483">
        <v>14</v>
      </c>
      <c r="J8" s="484" t="s">
        <v>112</v>
      </c>
      <c r="K8" s="485">
        <v>0</v>
      </c>
      <c r="L8" s="483">
        <v>130</v>
      </c>
      <c r="M8" s="484" t="s">
        <v>112</v>
      </c>
      <c r="N8" s="485">
        <v>0</v>
      </c>
      <c r="O8" s="486">
        <v>2320</v>
      </c>
      <c r="P8" s="487" t="s">
        <v>719</v>
      </c>
      <c r="Q8" s="482"/>
    </row>
    <row r="9" spans="1:18">
      <c r="A9" s="488"/>
      <c r="B9" s="484"/>
      <c r="C9" s="485"/>
      <c r="D9" s="483"/>
      <c r="E9" s="484"/>
      <c r="F9" s="485"/>
      <c r="G9" s="486"/>
      <c r="H9" s="487"/>
      <c r="I9" s="488"/>
      <c r="J9" s="484"/>
      <c r="K9" s="485"/>
      <c r="L9" s="483"/>
      <c r="M9" s="484"/>
      <c r="N9" s="485"/>
      <c r="O9" s="486"/>
      <c r="P9" s="487"/>
      <c r="Q9" s="482"/>
    </row>
    <row r="10" spans="1:18">
      <c r="A10" s="483"/>
      <c r="B10" s="484"/>
      <c r="C10" s="485"/>
      <c r="D10" s="483"/>
      <c r="E10" s="484"/>
      <c r="F10" s="485"/>
      <c r="G10" s="486">
        <f>SUM(G7:G8)</f>
        <v>2600</v>
      </c>
      <c r="H10" s="487"/>
      <c r="I10" s="483"/>
      <c r="J10" s="484"/>
      <c r="K10" s="485"/>
      <c r="L10" s="483"/>
      <c r="M10" s="484"/>
      <c r="N10" s="485"/>
      <c r="O10" s="486">
        <f>SUM(O7:O9)</f>
        <v>2600</v>
      </c>
      <c r="P10" s="487"/>
      <c r="Q10" s="482"/>
    </row>
    <row r="11" spans="1:18">
      <c r="A11" s="1666"/>
      <c r="B11" s="1667"/>
      <c r="C11" s="1667"/>
      <c r="D11" s="1667"/>
      <c r="E11" s="1667"/>
      <c r="F11" s="1667"/>
      <c r="G11" s="489"/>
      <c r="H11" s="490"/>
      <c r="I11" s="1668"/>
      <c r="J11" s="1669"/>
      <c r="K11" s="1669"/>
      <c r="L11" s="1669"/>
      <c r="M11" s="1669"/>
      <c r="N11" s="1670"/>
      <c r="O11" s="489"/>
      <c r="P11" s="491"/>
      <c r="Q11" s="482"/>
    </row>
    <row r="12" spans="1:18">
      <c r="A12" s="492"/>
      <c r="B12" s="493"/>
      <c r="C12" s="493"/>
      <c r="D12" s="490"/>
      <c r="E12" s="490"/>
      <c r="F12" s="494"/>
      <c r="G12" s="489"/>
      <c r="H12" s="495" t="s">
        <v>721</v>
      </c>
      <c r="I12" s="1663">
        <f>G10+O10</f>
        <v>5200</v>
      </c>
      <c r="J12" s="1663"/>
      <c r="K12" s="1663"/>
      <c r="L12" s="496" t="s">
        <v>10</v>
      </c>
      <c r="M12" s="497"/>
      <c r="N12" s="498"/>
      <c r="O12" s="489"/>
      <c r="P12" s="491"/>
      <c r="Q12" s="482"/>
    </row>
    <row r="16" spans="1:18">
      <c r="O16" s="930"/>
    </row>
  </sheetData>
  <mergeCells count="18">
    <mergeCell ref="A2:P2"/>
    <mergeCell ref="A1:P1"/>
    <mergeCell ref="A4:H4"/>
    <mergeCell ref="I4:P4"/>
    <mergeCell ref="A3:P3"/>
    <mergeCell ref="O5:O6"/>
    <mergeCell ref="P5:P6"/>
    <mergeCell ref="A6:C6"/>
    <mergeCell ref="D6:F6"/>
    <mergeCell ref="I6:K6"/>
    <mergeCell ref="L6:N6"/>
    <mergeCell ref="I12:K12"/>
    <mergeCell ref="A5:F5"/>
    <mergeCell ref="G5:G6"/>
    <mergeCell ref="H5:H6"/>
    <mergeCell ref="I5:N5"/>
    <mergeCell ref="A11:F11"/>
    <mergeCell ref="I11:N11"/>
  </mergeCell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opLeftCell="A19" zoomScale="80" zoomScaleNormal="80" workbookViewId="0">
      <selection activeCell="L37" sqref="L37:L44"/>
    </sheetView>
  </sheetViews>
  <sheetFormatPr defaultRowHeight="12.75"/>
  <cols>
    <col min="1" max="1" width="18.28515625" bestFit="1" customWidth="1"/>
    <col min="2" max="2" width="11.28515625" bestFit="1" customWidth="1"/>
    <col min="3" max="3" width="58.28515625" bestFit="1" customWidth="1"/>
    <col min="4" max="5" width="10.28515625" customWidth="1"/>
    <col min="6" max="6" width="15.140625" customWidth="1"/>
    <col min="7" max="7" width="13.7109375" customWidth="1"/>
    <col min="8" max="8" width="16" customWidth="1"/>
    <col min="14" max="14" width="13.5703125" bestFit="1" customWidth="1"/>
  </cols>
  <sheetData>
    <row r="1" spans="1:14">
      <c r="A1" s="1688" t="s">
        <v>908</v>
      </c>
      <c r="B1" s="1689"/>
      <c r="C1" s="1689"/>
      <c r="D1" s="1689"/>
      <c r="E1" s="1694"/>
      <c r="F1" s="1695"/>
      <c r="G1" s="1695"/>
      <c r="H1" s="1696"/>
      <c r="I1" s="954"/>
      <c r="J1" s="954"/>
      <c r="K1" s="954"/>
      <c r="L1" s="954"/>
      <c r="M1" s="954"/>
      <c r="N1" s="954"/>
    </row>
    <row r="2" spans="1:14">
      <c r="A2" s="1690"/>
      <c r="B2" s="1691"/>
      <c r="C2" s="1691"/>
      <c r="D2" s="1691"/>
      <c r="E2" s="1697" t="s">
        <v>909</v>
      </c>
      <c r="F2" s="1698"/>
      <c r="G2" s="1698"/>
      <c r="H2" s="1699"/>
      <c r="I2" s="954"/>
      <c r="J2" s="954"/>
      <c r="K2" s="954"/>
      <c r="L2" s="954"/>
      <c r="M2" s="954"/>
      <c r="N2" s="954"/>
    </row>
    <row r="3" spans="1:14">
      <c r="A3" s="1690"/>
      <c r="B3" s="1691"/>
      <c r="C3" s="1691"/>
      <c r="D3" s="1691"/>
      <c r="E3" s="1697" t="s">
        <v>910</v>
      </c>
      <c r="F3" s="1698"/>
      <c r="G3" s="1698"/>
      <c r="H3" s="1699"/>
      <c r="I3" s="954"/>
      <c r="J3" s="954"/>
      <c r="K3" s="954"/>
      <c r="L3" s="954"/>
      <c r="M3" s="954"/>
      <c r="N3" s="954"/>
    </row>
    <row r="4" spans="1:14" ht="13.5" thickBot="1">
      <c r="A4" s="1692"/>
      <c r="B4" s="1693"/>
      <c r="C4" s="1693"/>
      <c r="D4" s="1693"/>
      <c r="E4" s="1700" t="s">
        <v>911</v>
      </c>
      <c r="F4" s="1701"/>
      <c r="G4" s="1701"/>
      <c r="H4" s="1702"/>
      <c r="I4" s="954"/>
      <c r="J4" s="954"/>
      <c r="K4" s="954"/>
      <c r="L4" s="954"/>
      <c r="M4" s="954"/>
      <c r="N4" s="954"/>
    </row>
    <row r="5" spans="1:14" ht="13.5" thickBot="1">
      <c r="A5" s="1686" t="s">
        <v>912</v>
      </c>
      <c r="B5" s="1686"/>
      <c r="C5" s="1686"/>
      <c r="D5" s="1686"/>
      <c r="E5" s="1686"/>
      <c r="F5" s="1686"/>
      <c r="G5" s="1686"/>
      <c r="H5" s="1686"/>
      <c r="I5" s="954"/>
      <c r="J5" s="954"/>
      <c r="K5" s="954"/>
      <c r="L5" s="954"/>
      <c r="M5" s="954"/>
      <c r="N5" s="954"/>
    </row>
    <row r="6" spans="1:14" ht="13.5" thickBot="1">
      <c r="A6" s="1686"/>
      <c r="B6" s="1686"/>
      <c r="C6" s="1686"/>
      <c r="D6" s="1686"/>
      <c r="E6" s="1686"/>
      <c r="F6" s="1686"/>
      <c r="G6" s="1686"/>
      <c r="H6" s="1686"/>
      <c r="I6" s="954"/>
      <c r="J6" s="954"/>
      <c r="K6" s="954"/>
      <c r="L6" s="954"/>
      <c r="M6" s="954"/>
      <c r="N6" s="954"/>
    </row>
    <row r="7" spans="1:14" ht="13.5" thickBot="1">
      <c r="A7" s="1686"/>
      <c r="B7" s="1686"/>
      <c r="C7" s="1686"/>
      <c r="D7" s="1687"/>
      <c r="E7" s="1686"/>
      <c r="F7" s="1686"/>
      <c r="G7" s="1686"/>
      <c r="H7" s="1686"/>
      <c r="I7" s="954"/>
      <c r="J7" s="954"/>
      <c r="K7" s="954"/>
      <c r="L7" s="954"/>
      <c r="M7" s="954"/>
      <c r="N7" s="954"/>
    </row>
    <row r="8" spans="1:14" ht="29.25" thickBot="1">
      <c r="A8" s="1680" t="s">
        <v>260</v>
      </c>
      <c r="B8" s="1680"/>
      <c r="C8" s="1681" t="s">
        <v>913</v>
      </c>
      <c r="D8" s="955" t="s">
        <v>344</v>
      </c>
      <c r="E8" s="955" t="s">
        <v>914</v>
      </c>
      <c r="F8" s="955" t="s">
        <v>915</v>
      </c>
      <c r="G8" s="955" t="s">
        <v>916</v>
      </c>
      <c r="H8" s="955" t="s">
        <v>20</v>
      </c>
      <c r="I8" s="956" t="s">
        <v>995</v>
      </c>
      <c r="J8" s="957" t="s">
        <v>917</v>
      </c>
      <c r="K8" s="957" t="s">
        <v>996</v>
      </c>
      <c r="L8" s="957" t="s">
        <v>918</v>
      </c>
      <c r="M8" s="957" t="s">
        <v>919</v>
      </c>
      <c r="N8" s="957" t="s">
        <v>920</v>
      </c>
    </row>
    <row r="9" spans="1:14" ht="15" thickBot="1">
      <c r="A9" s="1680"/>
      <c r="B9" s="1680"/>
      <c r="C9" s="1681"/>
      <c r="D9" s="958" t="s">
        <v>921</v>
      </c>
      <c r="E9" s="958" t="s">
        <v>922</v>
      </c>
      <c r="F9" s="958" t="s">
        <v>923</v>
      </c>
      <c r="G9" s="958" t="s">
        <v>924</v>
      </c>
      <c r="H9" s="958" t="s">
        <v>924</v>
      </c>
      <c r="I9" s="1005">
        <v>0.90010000000000001</v>
      </c>
      <c r="J9" s="960"/>
      <c r="K9" s="1006">
        <v>0.52059999999999995</v>
      </c>
      <c r="L9" s="960"/>
      <c r="M9" s="960"/>
      <c r="N9" s="960"/>
    </row>
    <row r="10" spans="1:14" ht="14.25">
      <c r="A10" s="1682" t="s">
        <v>925</v>
      </c>
      <c r="B10" s="1682"/>
      <c r="C10" s="1683" t="s">
        <v>926</v>
      </c>
      <c r="D10" s="1683"/>
      <c r="E10" s="1683"/>
      <c r="F10" s="1683"/>
      <c r="G10" s="1683"/>
      <c r="H10" s="961">
        <f>SUM(H12:H13)+SUM(H15:H19)+SUM(H21:H24)</f>
        <v>183734.85961786495</v>
      </c>
      <c r="I10" s="959"/>
      <c r="J10" s="960"/>
      <c r="K10" s="960"/>
      <c r="L10" s="960"/>
      <c r="M10" s="960"/>
      <c r="N10" s="960"/>
    </row>
    <row r="11" spans="1:14" ht="14.25">
      <c r="A11" s="962" t="s">
        <v>927</v>
      </c>
      <c r="B11" s="963"/>
      <c r="C11" s="964" t="s">
        <v>928</v>
      </c>
      <c r="D11" s="965"/>
      <c r="E11" s="966"/>
      <c r="F11" s="967"/>
      <c r="G11" s="968"/>
      <c r="H11" s="969"/>
      <c r="I11" s="970"/>
      <c r="J11" s="971"/>
      <c r="K11" s="971"/>
      <c r="L11" s="972"/>
      <c r="M11" s="971"/>
      <c r="N11" s="973"/>
    </row>
    <row r="12" spans="1:14" ht="15">
      <c r="A12" s="974" t="s">
        <v>930</v>
      </c>
      <c r="B12" s="986" t="s">
        <v>931</v>
      </c>
      <c r="C12" s="987" t="s">
        <v>932</v>
      </c>
      <c r="D12" s="988" t="s">
        <v>929</v>
      </c>
      <c r="E12" s="978">
        <v>1</v>
      </c>
      <c r="F12" s="979">
        <v>4</v>
      </c>
      <c r="G12" s="980">
        <f>N12</f>
        <v>14569.871016823781</v>
      </c>
      <c r="H12" s="981">
        <f>F12*G12*E12</f>
        <v>58279.484067295125</v>
      </c>
      <c r="I12" s="989">
        <v>64.599999999999994</v>
      </c>
      <c r="J12" s="983">
        <f>I12/(1+$I$9)</f>
        <v>33.998210620493651</v>
      </c>
      <c r="K12" s="983">
        <f>J12*(1+$K$9)</f>
        <v>51.697679069522643</v>
      </c>
      <c r="L12" s="984">
        <f>1+(BDI!$E$24)</f>
        <v>1.2810379040623265</v>
      </c>
      <c r="M12" s="983">
        <v>1</v>
      </c>
      <c r="N12" s="985">
        <f t="shared" ref="N12:N24" si="0">K12*L12*M12*220</f>
        <v>14569.871016823781</v>
      </c>
    </row>
    <row r="13" spans="1:14" ht="15">
      <c r="A13" s="974" t="s">
        <v>930</v>
      </c>
      <c r="B13" s="986" t="s">
        <v>933</v>
      </c>
      <c r="C13" s="987" t="s">
        <v>934</v>
      </c>
      <c r="D13" s="988" t="s">
        <v>929</v>
      </c>
      <c r="E13" s="978">
        <v>1</v>
      </c>
      <c r="F13" s="979">
        <v>4</v>
      </c>
      <c r="G13" s="980">
        <f>N13</f>
        <v>4704.7602075997538</v>
      </c>
      <c r="H13" s="981">
        <f>F13*G13*E13</f>
        <v>18819.040830399015</v>
      </c>
      <c r="I13" s="989">
        <v>20.86</v>
      </c>
      <c r="J13" s="983">
        <f>I13/(1+$I$9)</f>
        <v>10.978369559496867</v>
      </c>
      <c r="K13" s="983">
        <f>J13*(1+$K$9)</f>
        <v>16.693708752170934</v>
      </c>
      <c r="L13" s="984">
        <f>1+(BDI!$E$24)</f>
        <v>1.2810379040623265</v>
      </c>
      <c r="M13" s="983">
        <v>1</v>
      </c>
      <c r="N13" s="985">
        <f t="shared" si="0"/>
        <v>4704.7602075997538</v>
      </c>
    </row>
    <row r="14" spans="1:14" ht="14.25">
      <c r="A14" s="962" t="s">
        <v>935</v>
      </c>
      <c r="B14" s="963"/>
      <c r="C14" s="990" t="s">
        <v>936</v>
      </c>
      <c r="D14" s="965"/>
      <c r="E14" s="966"/>
      <c r="F14" s="967"/>
      <c r="G14" s="968"/>
      <c r="H14" s="969"/>
      <c r="I14" s="970"/>
      <c r="J14" s="971"/>
      <c r="K14" s="971"/>
      <c r="L14" s="972"/>
      <c r="M14" s="971"/>
      <c r="N14" s="973"/>
    </row>
    <row r="15" spans="1:14" ht="15">
      <c r="A15" s="974" t="s">
        <v>930</v>
      </c>
      <c r="B15" s="975" t="s">
        <v>933</v>
      </c>
      <c r="C15" s="991" t="s">
        <v>937</v>
      </c>
      <c r="D15" s="977" t="s">
        <v>929</v>
      </c>
      <c r="E15" s="978">
        <v>2</v>
      </c>
      <c r="F15" s="979">
        <v>4</v>
      </c>
      <c r="G15" s="992">
        <v>4321.8230455334369</v>
      </c>
      <c r="H15" s="981">
        <f>F15*G15*E15</f>
        <v>34574.584364267495</v>
      </c>
      <c r="I15" s="993">
        <v>20.86</v>
      </c>
      <c r="J15" s="983">
        <f>I15/(1+$I$9)</f>
        <v>10.978369559496867</v>
      </c>
      <c r="K15" s="983">
        <f t="shared" ref="K15:K24" si="1">J15*(1+$K$9)</f>
        <v>16.693708752170934</v>
      </c>
      <c r="L15" s="984">
        <f>1+(BDI!$E$24)</f>
        <v>1.2810379040623265</v>
      </c>
      <c r="M15" s="960">
        <v>1</v>
      </c>
      <c r="N15" s="985">
        <f t="shared" si="0"/>
        <v>4704.7602075997538</v>
      </c>
    </row>
    <row r="16" spans="1:14" ht="15">
      <c r="A16" s="974" t="s">
        <v>930</v>
      </c>
      <c r="B16" s="975" t="s">
        <v>938</v>
      </c>
      <c r="C16" s="976" t="s">
        <v>939</v>
      </c>
      <c r="D16" s="977" t="s">
        <v>929</v>
      </c>
      <c r="E16" s="978">
        <v>1</v>
      </c>
      <c r="F16" s="979">
        <v>4</v>
      </c>
      <c r="G16" s="992">
        <v>2114.9823509505254</v>
      </c>
      <c r="H16" s="981">
        <f>F16*G16*E16</f>
        <v>8459.9294038021017</v>
      </c>
      <c r="I16" s="989">
        <v>12.27</v>
      </c>
      <c r="J16" s="983">
        <f>I16/(1+$I$9)</f>
        <v>6.4575548655333925</v>
      </c>
      <c r="K16" s="983">
        <f t="shared" si="1"/>
        <v>9.8193579285300761</v>
      </c>
      <c r="L16" s="984">
        <f>1+(BDI!$E$24)</f>
        <v>1.2810379040623265</v>
      </c>
      <c r="M16" s="983">
        <v>1</v>
      </c>
      <c r="N16" s="985">
        <f t="shared" si="0"/>
        <v>2767.3733340004305</v>
      </c>
    </row>
    <row r="17" spans="1:14" ht="15">
      <c r="A17" s="974" t="s">
        <v>930</v>
      </c>
      <c r="B17" s="975" t="s">
        <v>940</v>
      </c>
      <c r="C17" s="976" t="s">
        <v>941</v>
      </c>
      <c r="D17" s="977" t="s">
        <v>929</v>
      </c>
      <c r="E17" s="978">
        <v>1</v>
      </c>
      <c r="F17" s="979">
        <v>4</v>
      </c>
      <c r="G17" s="992">
        <v>703.50048537972998</v>
      </c>
      <c r="H17" s="981">
        <f>F17*G17*E17</f>
        <v>2814.0019415189199</v>
      </c>
      <c r="I17" s="989">
        <v>9.23</v>
      </c>
      <c r="J17" s="983">
        <f>I17/(1+$I$9)</f>
        <v>4.8576390716278093</v>
      </c>
      <c r="K17" s="983">
        <f t="shared" si="1"/>
        <v>7.3865259723172469</v>
      </c>
      <c r="L17" s="984">
        <f>1+(BDI!$E$24)</f>
        <v>1.2810379040623265</v>
      </c>
      <c r="M17" s="983">
        <v>1</v>
      </c>
      <c r="N17" s="985">
        <f t="shared" si="0"/>
        <v>2081.7323449734295</v>
      </c>
    </row>
    <row r="18" spans="1:14" ht="15">
      <c r="A18" s="974" t="s">
        <v>930</v>
      </c>
      <c r="B18" s="975" t="s">
        <v>942</v>
      </c>
      <c r="C18" s="976" t="s">
        <v>943</v>
      </c>
      <c r="D18" s="977" t="s">
        <v>929</v>
      </c>
      <c r="E18" s="978">
        <v>1</v>
      </c>
      <c r="F18" s="979">
        <v>4</v>
      </c>
      <c r="G18" s="992">
        <v>3479.414821002295</v>
      </c>
      <c r="H18" s="981">
        <f>F18*G18*E18</f>
        <v>13917.65928400918</v>
      </c>
      <c r="I18" s="989">
        <v>20.170000000000002</v>
      </c>
      <c r="J18" s="983">
        <f>I18/(1+$I$9)</f>
        <v>10.615230777327509</v>
      </c>
      <c r="K18" s="983">
        <f t="shared" si="1"/>
        <v>16.14151992000421</v>
      </c>
      <c r="L18" s="984">
        <f>1+(BDI!$E$24)</f>
        <v>1.2810379040623265</v>
      </c>
      <c r="M18" s="983">
        <v>1</v>
      </c>
      <c r="N18" s="985">
        <f t="shared" si="0"/>
        <v>4549.1377462745468</v>
      </c>
    </row>
    <row r="19" spans="1:14" ht="15">
      <c r="A19" s="974" t="s">
        <v>930</v>
      </c>
      <c r="B19" s="975" t="s">
        <v>944</v>
      </c>
      <c r="C19" s="994" t="s">
        <v>945</v>
      </c>
      <c r="D19" s="977" t="s">
        <v>929</v>
      </c>
      <c r="E19" s="978">
        <v>1</v>
      </c>
      <c r="F19" s="979">
        <v>4</v>
      </c>
      <c r="G19" s="992">
        <v>1601.9198950525699</v>
      </c>
      <c r="H19" s="981">
        <f>F19*G19*E19</f>
        <v>6407.6795802102797</v>
      </c>
      <c r="I19" s="989">
        <v>9.31</v>
      </c>
      <c r="J19" s="983">
        <f>I19/(1+$I$9)</f>
        <v>4.8997421188358503</v>
      </c>
      <c r="K19" s="983">
        <f t="shared" si="1"/>
        <v>7.4505478659017941</v>
      </c>
      <c r="L19" s="984">
        <f>1+(BDI!$E$24)</f>
        <v>1.2810379040623265</v>
      </c>
      <c r="M19" s="983">
        <v>1</v>
      </c>
      <c r="N19" s="985">
        <f t="shared" si="0"/>
        <v>2099.7755288951926</v>
      </c>
    </row>
    <row r="20" spans="1:14" ht="14.25">
      <c r="A20" s="962" t="s">
        <v>946</v>
      </c>
      <c r="B20" s="963"/>
      <c r="C20" s="990" t="s">
        <v>936</v>
      </c>
      <c r="D20" s="965"/>
      <c r="E20" s="966"/>
      <c r="F20" s="967"/>
      <c r="G20" s="968"/>
      <c r="H20" s="969"/>
      <c r="I20" s="970"/>
      <c r="J20" s="971"/>
      <c r="K20" s="971"/>
      <c r="L20" s="972"/>
      <c r="M20" s="971"/>
      <c r="N20" s="973"/>
    </row>
    <row r="21" spans="1:14" ht="15">
      <c r="A21" s="974" t="s">
        <v>930</v>
      </c>
      <c r="B21" s="975" t="s">
        <v>947</v>
      </c>
      <c r="C21" s="995" t="s">
        <v>948</v>
      </c>
      <c r="D21" s="977" t="s">
        <v>929</v>
      </c>
      <c r="E21" s="978">
        <v>1</v>
      </c>
      <c r="F21" s="979">
        <v>4</v>
      </c>
      <c r="G21" s="996">
        <v>1870.7735837327214</v>
      </c>
      <c r="H21" s="981">
        <f>F21*G21*E21</f>
        <v>7483.0943349308855</v>
      </c>
      <c r="I21" s="989">
        <v>11.47</v>
      </c>
      <c r="J21" s="983">
        <f>I21/(1+$I$9)</f>
        <v>6.036524393452976</v>
      </c>
      <c r="K21" s="983">
        <f t="shared" si="1"/>
        <v>9.1791389926845941</v>
      </c>
      <c r="L21" s="984">
        <f>1+(BDI!$E$24)</f>
        <v>1.2810379040623265</v>
      </c>
      <c r="M21" s="983">
        <v>1</v>
      </c>
      <c r="N21" s="985">
        <f t="shared" si="0"/>
        <v>2586.9414947827986</v>
      </c>
    </row>
    <row r="22" spans="1:14" ht="15">
      <c r="A22" s="974" t="s">
        <v>930</v>
      </c>
      <c r="B22" s="975" t="s">
        <v>949</v>
      </c>
      <c r="C22" s="995" t="s">
        <v>950</v>
      </c>
      <c r="D22" s="977" t="s">
        <v>929</v>
      </c>
      <c r="E22" s="978">
        <v>1</v>
      </c>
      <c r="F22" s="979">
        <v>4</v>
      </c>
      <c r="G22" s="996">
        <v>2114.9823509505254</v>
      </c>
      <c r="H22" s="981">
        <f>F22*G22*E22</f>
        <v>8459.9294038021017</v>
      </c>
      <c r="I22" s="993">
        <v>12.27</v>
      </c>
      <c r="J22" s="983">
        <f>I22/(1+$I$9)</f>
        <v>6.4575548655333925</v>
      </c>
      <c r="K22" s="983">
        <f t="shared" si="1"/>
        <v>9.8193579285300761</v>
      </c>
      <c r="L22" s="984">
        <f>1+(BDI!$E$24)</f>
        <v>1.2810379040623265</v>
      </c>
      <c r="M22" s="960">
        <v>1</v>
      </c>
      <c r="N22" s="985">
        <f t="shared" si="0"/>
        <v>2767.3733340004305</v>
      </c>
    </row>
    <row r="23" spans="1:14" ht="15">
      <c r="A23" s="974" t="s">
        <v>930</v>
      </c>
      <c r="B23" s="975" t="s">
        <v>951</v>
      </c>
      <c r="C23" s="995" t="s">
        <v>952</v>
      </c>
      <c r="D23" s="977" t="s">
        <v>929</v>
      </c>
      <c r="E23" s="978">
        <v>2</v>
      </c>
      <c r="F23" s="979">
        <v>4</v>
      </c>
      <c r="G23" s="996">
        <v>1707.2209231189627</v>
      </c>
      <c r="H23" s="981">
        <f>F23*G23*E23</f>
        <v>13657.767384951701</v>
      </c>
      <c r="I23" s="993">
        <v>9.91</v>
      </c>
      <c r="J23" s="983">
        <f>I23/(1+$I$9)</f>
        <v>5.2155149728961634</v>
      </c>
      <c r="K23" s="983">
        <f t="shared" si="1"/>
        <v>7.9307120677859055</v>
      </c>
      <c r="L23" s="984">
        <f>1+(BDI!$E$24)</f>
        <v>1.2810379040623265</v>
      </c>
      <c r="M23" s="960">
        <v>1</v>
      </c>
      <c r="N23" s="985">
        <f t="shared" si="0"/>
        <v>2235.0994083084165</v>
      </c>
    </row>
    <row r="24" spans="1:14" ht="15">
      <c r="A24" s="974" t="s">
        <v>930</v>
      </c>
      <c r="B24" s="975" t="s">
        <v>953</v>
      </c>
      <c r="C24" s="995" t="s">
        <v>954</v>
      </c>
      <c r="D24" s="977" t="s">
        <v>929</v>
      </c>
      <c r="E24" s="978">
        <v>1</v>
      </c>
      <c r="F24" s="979">
        <v>4</v>
      </c>
      <c r="G24" s="996">
        <v>2715.4222556695304</v>
      </c>
      <c r="H24" s="981">
        <f>F24*G24*E24</f>
        <v>10861.689022678122</v>
      </c>
      <c r="I24" s="989">
        <v>9.59</v>
      </c>
      <c r="J24" s="983">
        <f>I24/(1+$I$9)</f>
        <v>5.0471027840639966</v>
      </c>
      <c r="K24" s="983">
        <f t="shared" si="1"/>
        <v>7.6746244934477126</v>
      </c>
      <c r="L24" s="984">
        <f>1+(BDI!$E$24)</f>
        <v>1.2810379040623265</v>
      </c>
      <c r="M24" s="983">
        <v>1</v>
      </c>
      <c r="N24" s="985">
        <f t="shared" si="0"/>
        <v>2162.9266726213637</v>
      </c>
    </row>
    <row r="25" spans="1:14" ht="14.25">
      <c r="A25" s="1684" t="s">
        <v>955</v>
      </c>
      <c r="B25" s="1684"/>
      <c r="C25" s="1685" t="s">
        <v>956</v>
      </c>
      <c r="D25" s="1685"/>
      <c r="E25" s="1685"/>
      <c r="F25" s="1685"/>
      <c r="G25" s="1685"/>
      <c r="H25" s="1004">
        <f>SUM(H27:H44)</f>
        <v>164102.2547617509</v>
      </c>
      <c r="I25" s="997"/>
      <c r="J25" s="971"/>
      <c r="K25" s="971"/>
      <c r="L25" s="998"/>
      <c r="M25" s="998"/>
      <c r="N25" s="998"/>
    </row>
    <row r="26" spans="1:14" ht="14.25">
      <c r="A26" s="962" t="s">
        <v>957</v>
      </c>
      <c r="B26" s="963"/>
      <c r="C26" s="964" t="s">
        <v>958</v>
      </c>
      <c r="D26" s="965"/>
      <c r="E26" s="966"/>
      <c r="F26" s="967"/>
      <c r="G26" s="968"/>
      <c r="H26" s="969"/>
      <c r="I26" s="970"/>
      <c r="J26" s="971"/>
      <c r="K26" s="971"/>
      <c r="L26" s="972"/>
      <c r="M26" s="971"/>
      <c r="N26" s="973"/>
    </row>
    <row r="27" spans="1:14" ht="15">
      <c r="A27" s="974" t="s">
        <v>930</v>
      </c>
      <c r="B27" s="975" t="s">
        <v>959</v>
      </c>
      <c r="C27" s="991" t="s">
        <v>960</v>
      </c>
      <c r="D27" s="977" t="s">
        <v>44</v>
      </c>
      <c r="E27" s="978">
        <v>2</v>
      </c>
      <c r="F27" s="979">
        <v>8</v>
      </c>
      <c r="G27" s="992">
        <f>N27</f>
        <v>4447.2511877427723</v>
      </c>
      <c r="H27" s="981">
        <f>E27*F27*G27</f>
        <v>71156.019003884358</v>
      </c>
      <c r="I27" s="993">
        <v>15.78</v>
      </c>
      <c r="J27" s="983"/>
      <c r="K27" s="983"/>
      <c r="L27" s="984">
        <f>1+(BDI!$E$24)</f>
        <v>1.2810379040623265</v>
      </c>
      <c r="M27" s="960">
        <v>1</v>
      </c>
      <c r="N27" s="985">
        <f>I27*L27*M27*220</f>
        <v>4447.2511877427723</v>
      </c>
    </row>
    <row r="28" spans="1:14" ht="14.25">
      <c r="A28" s="962" t="s">
        <v>961</v>
      </c>
      <c r="B28" s="963"/>
      <c r="C28" s="964" t="s">
        <v>962</v>
      </c>
      <c r="D28" s="965"/>
      <c r="E28" s="966"/>
      <c r="F28" s="967"/>
      <c r="G28" s="968"/>
      <c r="H28" s="969"/>
      <c r="I28" s="970"/>
      <c r="J28" s="971"/>
      <c r="K28" s="971"/>
      <c r="L28" s="972"/>
      <c r="M28" s="971"/>
      <c r="N28" s="973"/>
    </row>
    <row r="29" spans="1:14" ht="15">
      <c r="A29" s="974" t="s">
        <v>963</v>
      </c>
      <c r="B29" s="975"/>
      <c r="C29" s="995" t="s">
        <v>964</v>
      </c>
      <c r="D29" s="977" t="s">
        <v>44</v>
      </c>
      <c r="E29" s="978">
        <v>1</v>
      </c>
      <c r="F29" s="979">
        <v>8</v>
      </c>
      <c r="G29" s="996">
        <f>N29</f>
        <v>2090.0133404776857</v>
      </c>
      <c r="H29" s="981">
        <f t="shared" ref="H29:H35" si="2">E29*F29*G29</f>
        <v>16720.106723821486</v>
      </c>
      <c r="I29" s="989">
        <v>1631.5</v>
      </c>
      <c r="J29" s="989"/>
      <c r="K29" s="989"/>
      <c r="L29" s="984">
        <f>1+(BDI!$E$24)</f>
        <v>1.2810379040623265</v>
      </c>
      <c r="M29" s="983">
        <v>1</v>
      </c>
      <c r="N29" s="985">
        <f>I29*L29*M29</f>
        <v>2090.0133404776857</v>
      </c>
    </row>
    <row r="30" spans="1:14" ht="15">
      <c r="A30" s="974" t="s">
        <v>963</v>
      </c>
      <c r="B30" s="975"/>
      <c r="C30" s="995" t="s">
        <v>965</v>
      </c>
      <c r="D30" s="977" t="s">
        <v>44</v>
      </c>
      <c r="E30" s="978">
        <v>1</v>
      </c>
      <c r="F30" s="979">
        <v>8</v>
      </c>
      <c r="G30" s="996">
        <f>N30</f>
        <v>2964.885366678011</v>
      </c>
      <c r="H30" s="981">
        <f t="shared" si="2"/>
        <v>23719.082933424088</v>
      </c>
      <c r="I30" s="989">
        <v>2314.44</v>
      </c>
      <c r="J30" s="989"/>
      <c r="K30" s="989"/>
      <c r="L30" s="984">
        <f>1+(BDI!$E$24)</f>
        <v>1.2810379040623265</v>
      </c>
      <c r="M30" s="983">
        <v>1</v>
      </c>
      <c r="N30" s="985">
        <f>I30*L30*M30</f>
        <v>2964.885366678011</v>
      </c>
    </row>
    <row r="31" spans="1:14" ht="15">
      <c r="A31" s="974" t="s">
        <v>966</v>
      </c>
      <c r="B31" s="975"/>
      <c r="C31" s="995" t="s">
        <v>967</v>
      </c>
      <c r="D31" s="977"/>
      <c r="E31" s="978"/>
      <c r="F31" s="979"/>
      <c r="G31" s="996"/>
      <c r="H31" s="981"/>
      <c r="I31" s="989"/>
      <c r="J31" s="983"/>
      <c r="K31" s="983"/>
      <c r="L31" s="984"/>
      <c r="M31" s="983"/>
      <c r="N31" s="985"/>
    </row>
    <row r="32" spans="1:14" ht="14.25">
      <c r="A32" s="962" t="s">
        <v>968</v>
      </c>
      <c r="B32" s="963"/>
      <c r="C32" s="964" t="s">
        <v>969</v>
      </c>
      <c r="D32" s="965"/>
      <c r="E32" s="966"/>
      <c r="F32" s="967"/>
      <c r="G32" s="968"/>
      <c r="H32" s="969"/>
      <c r="I32" s="970"/>
      <c r="J32" s="971"/>
      <c r="K32" s="971"/>
      <c r="L32" s="972"/>
      <c r="M32" s="971"/>
      <c r="N32" s="973"/>
    </row>
    <row r="33" spans="1:14" ht="15">
      <c r="A33" s="974" t="s">
        <v>963</v>
      </c>
      <c r="B33" s="975"/>
      <c r="C33" s="995" t="s">
        <v>970</v>
      </c>
      <c r="D33" s="977" t="s">
        <v>44</v>
      </c>
      <c r="E33" s="978">
        <v>1</v>
      </c>
      <c r="F33" s="979">
        <v>8</v>
      </c>
      <c r="G33" s="996">
        <v>1899.5204799999997</v>
      </c>
      <c r="H33" s="981">
        <f t="shared" si="2"/>
        <v>15196.163839999997</v>
      </c>
      <c r="I33" s="989">
        <v>1657.52</v>
      </c>
      <c r="J33" s="989"/>
      <c r="K33" s="989"/>
      <c r="L33" s="984">
        <f>1+(BDI!$E$24)</f>
        <v>1.2810379040623265</v>
      </c>
      <c r="M33" s="983">
        <v>1</v>
      </c>
      <c r="N33" s="985">
        <f>I33*L33*M33</f>
        <v>2123.3459467413873</v>
      </c>
    </row>
    <row r="34" spans="1:14" ht="14.25">
      <c r="A34" s="962" t="s">
        <v>971</v>
      </c>
      <c r="B34" s="963"/>
      <c r="C34" s="999" t="s">
        <v>972</v>
      </c>
      <c r="D34" s="965"/>
      <c r="E34" s="966"/>
      <c r="F34" s="967"/>
      <c r="G34" s="1000"/>
      <c r="H34" s="969"/>
      <c r="I34" s="970"/>
      <c r="J34" s="971"/>
      <c r="K34" s="971"/>
      <c r="L34" s="972"/>
      <c r="M34" s="971"/>
      <c r="N34" s="973"/>
    </row>
    <row r="35" spans="1:14" ht="15">
      <c r="A35" s="974" t="s">
        <v>963</v>
      </c>
      <c r="B35" s="975"/>
      <c r="C35" s="995" t="s">
        <v>973</v>
      </c>
      <c r="D35" s="977" t="s">
        <v>44</v>
      </c>
      <c r="E35" s="978">
        <v>1</v>
      </c>
      <c r="F35" s="979">
        <v>8</v>
      </c>
      <c r="G35" s="996">
        <v>816.94225599999993</v>
      </c>
      <c r="H35" s="981">
        <f t="shared" si="2"/>
        <v>6535.5380479999994</v>
      </c>
      <c r="I35" s="989">
        <v>712.87</v>
      </c>
      <c r="J35" s="989"/>
      <c r="K35" s="989"/>
      <c r="L35" s="984">
        <f>1+(BDI!$E$24)</f>
        <v>1.2810379040623265</v>
      </c>
      <c r="M35" s="983">
        <v>1</v>
      </c>
      <c r="N35" s="985">
        <f>I35*L35*M35</f>
        <v>913.21349066891071</v>
      </c>
    </row>
    <row r="36" spans="1:14" ht="14.25">
      <c r="A36" s="962" t="s">
        <v>974</v>
      </c>
      <c r="B36" s="963"/>
      <c r="C36" s="999" t="s">
        <v>975</v>
      </c>
      <c r="D36" s="965"/>
      <c r="E36" s="966"/>
      <c r="F36" s="967"/>
      <c r="G36" s="1000"/>
      <c r="H36" s="969"/>
      <c r="I36" s="970"/>
      <c r="J36" s="971"/>
      <c r="K36" s="971"/>
      <c r="L36" s="972"/>
      <c r="M36" s="971"/>
      <c r="N36" s="973"/>
    </row>
    <row r="37" spans="1:14" ht="15">
      <c r="A37" s="974" t="s">
        <v>976</v>
      </c>
      <c r="B37" s="975" t="s">
        <v>977</v>
      </c>
      <c r="C37" s="995" t="s">
        <v>978</v>
      </c>
      <c r="D37" s="977" t="s">
        <v>44</v>
      </c>
      <c r="E37" s="978">
        <v>1</v>
      </c>
      <c r="F37" s="979">
        <v>8</v>
      </c>
      <c r="G37" s="996">
        <f>N37</f>
        <v>512.41516162493065</v>
      </c>
      <c r="H37" s="981">
        <f>F37*E37*G37</f>
        <v>4099.3212929994452</v>
      </c>
      <c r="I37" s="989">
        <v>400</v>
      </c>
      <c r="J37" s="983">
        <v>400</v>
      </c>
      <c r="K37" s="983">
        <v>400</v>
      </c>
      <c r="L37" s="984">
        <f>1+(BDI!$E$24)</f>
        <v>1.2810379040623265</v>
      </c>
      <c r="M37" s="983">
        <v>1</v>
      </c>
      <c r="N37" s="985">
        <f>I37*L37*M37</f>
        <v>512.41516162493065</v>
      </c>
    </row>
    <row r="38" spans="1:14" ht="15">
      <c r="A38" s="974" t="s">
        <v>976</v>
      </c>
      <c r="B38" s="975" t="s">
        <v>979</v>
      </c>
      <c r="C38" s="991" t="s">
        <v>980</v>
      </c>
      <c r="D38" s="977" t="s">
        <v>44</v>
      </c>
      <c r="E38" s="978">
        <v>1</v>
      </c>
      <c r="F38" s="979">
        <v>8</v>
      </c>
      <c r="G38" s="980">
        <f t="shared" ref="G38:G43" si="3">N38</f>
        <v>768.62274243739591</v>
      </c>
      <c r="H38" s="1001">
        <f t="shared" ref="H38:H44" si="4">F38*E38*G38</f>
        <v>6148.9819394991673</v>
      </c>
      <c r="I38" s="959">
        <v>600</v>
      </c>
      <c r="J38" s="960">
        <v>600</v>
      </c>
      <c r="K38" s="960">
        <v>600</v>
      </c>
      <c r="L38" s="984">
        <f>1+(BDI!$E$24)</f>
        <v>1.2810379040623265</v>
      </c>
      <c r="M38" s="960">
        <v>1</v>
      </c>
      <c r="N38" s="960">
        <f t="shared" ref="N38:N44" si="5">I38*L38*M38</f>
        <v>768.62274243739591</v>
      </c>
    </row>
    <row r="39" spans="1:14" ht="15">
      <c r="A39" s="974" t="s">
        <v>976</v>
      </c>
      <c r="B39" s="975" t="s">
        <v>981</v>
      </c>
      <c r="C39" s="991" t="s">
        <v>982</v>
      </c>
      <c r="D39" s="977" t="s">
        <v>44</v>
      </c>
      <c r="E39" s="978">
        <v>1</v>
      </c>
      <c r="F39" s="979">
        <v>8</v>
      </c>
      <c r="G39" s="980">
        <f t="shared" si="3"/>
        <v>448.36326642181427</v>
      </c>
      <c r="H39" s="1001">
        <f t="shared" si="4"/>
        <v>3586.9061313745142</v>
      </c>
      <c r="I39" s="959">
        <v>350</v>
      </c>
      <c r="J39" s="960">
        <v>600</v>
      </c>
      <c r="K39" s="960">
        <v>600</v>
      </c>
      <c r="L39" s="984">
        <f>1+(BDI!$E$24)</f>
        <v>1.2810379040623265</v>
      </c>
      <c r="M39" s="960">
        <v>1</v>
      </c>
      <c r="N39" s="960">
        <f t="shared" si="5"/>
        <v>448.36326642181427</v>
      </c>
    </row>
    <row r="40" spans="1:14" ht="15">
      <c r="A40" s="974" t="s">
        <v>976</v>
      </c>
      <c r="B40" s="975" t="s">
        <v>983</v>
      </c>
      <c r="C40" s="991" t="s">
        <v>984</v>
      </c>
      <c r="D40" s="977" t="s">
        <v>44</v>
      </c>
      <c r="E40" s="978">
        <v>1</v>
      </c>
      <c r="F40" s="979">
        <v>8</v>
      </c>
      <c r="G40" s="980">
        <f t="shared" si="3"/>
        <v>192.15568560934898</v>
      </c>
      <c r="H40" s="1001">
        <f t="shared" si="4"/>
        <v>1537.2454848747918</v>
      </c>
      <c r="I40" s="959">
        <v>150</v>
      </c>
      <c r="J40" s="960">
        <v>150</v>
      </c>
      <c r="K40" s="960">
        <v>150</v>
      </c>
      <c r="L40" s="984">
        <f>1+(BDI!$E$24)</f>
        <v>1.2810379040623265</v>
      </c>
      <c r="M40" s="960">
        <v>1</v>
      </c>
      <c r="N40" s="960">
        <f t="shared" si="5"/>
        <v>192.15568560934898</v>
      </c>
    </row>
    <row r="41" spans="1:14" ht="15">
      <c r="A41" s="974" t="s">
        <v>976</v>
      </c>
      <c r="B41" s="975" t="s">
        <v>985</v>
      </c>
      <c r="C41" s="991" t="s">
        <v>986</v>
      </c>
      <c r="D41" s="977" t="s">
        <v>44</v>
      </c>
      <c r="E41" s="978">
        <v>1</v>
      </c>
      <c r="F41" s="979">
        <v>8</v>
      </c>
      <c r="G41" s="980">
        <f t="shared" si="3"/>
        <v>640.51895203116328</v>
      </c>
      <c r="H41" s="1001">
        <f t="shared" si="4"/>
        <v>5124.1516162493062</v>
      </c>
      <c r="I41" s="959">
        <v>500</v>
      </c>
      <c r="J41" s="960">
        <v>500</v>
      </c>
      <c r="K41" s="960">
        <v>500</v>
      </c>
      <c r="L41" s="984">
        <f>1+(BDI!$E$24)</f>
        <v>1.2810379040623265</v>
      </c>
      <c r="M41" s="960">
        <v>1</v>
      </c>
      <c r="N41" s="960">
        <f t="shared" si="5"/>
        <v>640.51895203116328</v>
      </c>
    </row>
    <row r="42" spans="1:14" ht="15">
      <c r="A42" s="974" t="s">
        <v>976</v>
      </c>
      <c r="B42" s="975" t="s">
        <v>987</v>
      </c>
      <c r="C42" s="991" t="s">
        <v>988</v>
      </c>
      <c r="D42" s="977" t="s">
        <v>44</v>
      </c>
      <c r="E42" s="978">
        <v>1</v>
      </c>
      <c r="F42" s="979">
        <v>8</v>
      </c>
      <c r="G42" s="980">
        <f t="shared" si="3"/>
        <v>576.46705682804691</v>
      </c>
      <c r="H42" s="1001">
        <f t="shared" si="4"/>
        <v>4611.7364546243753</v>
      </c>
      <c r="I42" s="959">
        <v>450</v>
      </c>
      <c r="J42" s="960">
        <v>450</v>
      </c>
      <c r="K42" s="960">
        <v>450</v>
      </c>
      <c r="L42" s="984">
        <f>1+(BDI!$E$24)</f>
        <v>1.2810379040623265</v>
      </c>
      <c r="M42" s="960">
        <v>1</v>
      </c>
      <c r="N42" s="960">
        <f t="shared" si="5"/>
        <v>576.46705682804691</v>
      </c>
    </row>
    <row r="43" spans="1:14" ht="15">
      <c r="A43" s="974" t="s">
        <v>976</v>
      </c>
      <c r="B43" s="975" t="s">
        <v>989</v>
      </c>
      <c r="C43" s="991" t="s">
        <v>990</v>
      </c>
      <c r="D43" s="977" t="s">
        <v>44</v>
      </c>
      <c r="E43" s="978">
        <v>1</v>
      </c>
      <c r="F43" s="979">
        <v>8</v>
      </c>
      <c r="G43" s="980">
        <f t="shared" si="3"/>
        <v>512.41516162493065</v>
      </c>
      <c r="H43" s="1001">
        <f t="shared" si="4"/>
        <v>4099.3212929994452</v>
      </c>
      <c r="I43" s="959">
        <v>400</v>
      </c>
      <c r="J43" s="960">
        <v>400</v>
      </c>
      <c r="K43" s="960">
        <v>400</v>
      </c>
      <c r="L43" s="984">
        <f>1+(BDI!$E$24)</f>
        <v>1.2810379040623265</v>
      </c>
      <c r="M43" s="960">
        <v>1</v>
      </c>
      <c r="N43" s="960">
        <f t="shared" si="5"/>
        <v>512.41516162493065</v>
      </c>
    </row>
    <row r="44" spans="1:14" ht="15.75" thickBot="1">
      <c r="A44" s="974" t="s">
        <v>976</v>
      </c>
      <c r="B44" s="975" t="s">
        <v>991</v>
      </c>
      <c r="C44" s="1002" t="s">
        <v>992</v>
      </c>
      <c r="D44" s="977" t="s">
        <v>695</v>
      </c>
      <c r="E44" s="978">
        <v>2</v>
      </c>
      <c r="F44" s="979">
        <v>2</v>
      </c>
      <c r="G44" s="980">
        <v>391.92</v>
      </c>
      <c r="H44" s="1001">
        <f t="shared" si="4"/>
        <v>1567.68</v>
      </c>
      <c r="I44" s="959">
        <v>255.57</v>
      </c>
      <c r="J44" s="960">
        <v>255.57</v>
      </c>
      <c r="K44" s="960">
        <v>255.57</v>
      </c>
      <c r="L44" s="984">
        <f>1+(BDI!$E$24)</f>
        <v>1.2810379040623265</v>
      </c>
      <c r="M44" s="960">
        <v>1</v>
      </c>
      <c r="N44" s="960">
        <f t="shared" si="5"/>
        <v>327.39485714120877</v>
      </c>
    </row>
    <row r="45" spans="1:14" ht="15" thickBot="1">
      <c r="A45" s="1674" t="s">
        <v>993</v>
      </c>
      <c r="B45" s="1675"/>
      <c r="C45" s="1675"/>
      <c r="D45" s="1675"/>
      <c r="E45" s="1675"/>
      <c r="F45" s="1675"/>
      <c r="G45" s="1676"/>
      <c r="H45" s="1003">
        <f>H10+H25</f>
        <v>347837.11437961587</v>
      </c>
      <c r="I45" s="982"/>
      <c r="J45" s="983"/>
      <c r="K45" s="983"/>
      <c r="L45" s="983"/>
      <c r="M45" s="983"/>
      <c r="N45" s="985">
        <v>110524.91090748399</v>
      </c>
    </row>
    <row r="46" spans="1:14" ht="15" thickBot="1">
      <c r="A46" s="1677" t="s">
        <v>994</v>
      </c>
      <c r="B46" s="1678"/>
      <c r="C46" s="1678"/>
      <c r="D46" s="1678"/>
      <c r="E46" s="1678"/>
      <c r="F46" s="1678"/>
      <c r="G46" s="1679"/>
      <c r="H46" s="1003">
        <f>H45/12</f>
        <v>28986.426198301324</v>
      </c>
      <c r="I46" s="959"/>
      <c r="J46" s="960"/>
      <c r="K46" s="960"/>
      <c r="L46" s="960"/>
      <c r="M46" s="960"/>
      <c r="N46" s="960"/>
    </row>
  </sheetData>
  <mergeCells count="14">
    <mergeCell ref="A5:H7"/>
    <mergeCell ref="A1:D4"/>
    <mergeCell ref="E1:H1"/>
    <mergeCell ref="E2:H2"/>
    <mergeCell ref="E3:H3"/>
    <mergeCell ref="E4:H4"/>
    <mergeCell ref="A45:G45"/>
    <mergeCell ref="A46:G46"/>
    <mergeCell ref="A8:B9"/>
    <mergeCell ref="C8:C9"/>
    <mergeCell ref="A10:B10"/>
    <mergeCell ref="C10:G10"/>
    <mergeCell ref="A25:B25"/>
    <mergeCell ref="C25:G2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451"/>
  <sheetViews>
    <sheetView view="pageBreakPreview" topLeftCell="D1" zoomScale="110" zoomScaleSheetLayoutView="110" workbookViewId="0">
      <pane ySplit="6" topLeftCell="A67" activePane="bottomLeft" state="frozen"/>
      <selection pane="bottomLeft" activeCell="C18" sqref="C18"/>
    </sheetView>
  </sheetViews>
  <sheetFormatPr defaultRowHeight="12"/>
  <cols>
    <col min="1" max="1" width="13.7109375" style="11" customWidth="1"/>
    <col min="2" max="2" width="13.42578125" style="11" customWidth="1"/>
    <col min="3" max="3" width="65.7109375" style="11" customWidth="1"/>
    <col min="4" max="4" width="10.28515625" style="11" customWidth="1"/>
    <col min="5" max="5" width="12.140625" style="11" customWidth="1"/>
    <col min="6" max="6" width="29" style="28" customWidth="1"/>
    <col min="7" max="9" width="9.140625" style="11"/>
    <col min="10" max="10" width="41.85546875" style="11" customWidth="1"/>
    <col min="11" max="16384" width="9.140625" style="11"/>
  </cols>
  <sheetData>
    <row r="1" spans="1:10" ht="13.5" customHeight="1">
      <c r="A1" s="309" t="s">
        <v>87</v>
      </c>
      <c r="B1" s="310" t="s">
        <v>221</v>
      </c>
      <c r="C1" s="310"/>
      <c r="D1" s="310"/>
      <c r="E1" s="310"/>
      <c r="F1" s="311"/>
    </row>
    <row r="2" spans="1:10" ht="13.5" customHeight="1">
      <c r="A2" s="312" t="s">
        <v>88</v>
      </c>
      <c r="B2" s="81" t="s">
        <v>195</v>
      </c>
      <c r="C2" s="81"/>
      <c r="D2" s="81"/>
      <c r="E2" s="81"/>
      <c r="F2" s="313"/>
    </row>
    <row r="3" spans="1:10" ht="13.5" customHeight="1">
      <c r="A3" s="312" t="s">
        <v>196</v>
      </c>
      <c r="B3" s="81" t="s">
        <v>197</v>
      </c>
      <c r="C3" s="81"/>
      <c r="D3" s="81"/>
      <c r="E3" s="81"/>
      <c r="F3" s="313"/>
    </row>
    <row r="4" spans="1:10" ht="13.5" customHeight="1">
      <c r="A4" s="312" t="s">
        <v>90</v>
      </c>
      <c r="B4" s="81" t="s">
        <v>198</v>
      </c>
      <c r="C4" s="81"/>
      <c r="D4" s="81"/>
      <c r="E4" s="81"/>
      <c r="F4" s="313"/>
    </row>
    <row r="5" spans="1:10" ht="13.5" customHeight="1" thickBot="1">
      <c r="A5" s="314" t="s">
        <v>91</v>
      </c>
      <c r="B5" s="213" t="s">
        <v>222</v>
      </c>
      <c r="C5" s="213"/>
      <c r="D5" s="213"/>
      <c r="E5" s="213"/>
      <c r="F5" s="315"/>
    </row>
    <row r="6" spans="1:10" ht="25.5" customHeight="1" thickBot="1">
      <c r="A6" s="82" t="s">
        <v>0</v>
      </c>
      <c r="B6" s="82" t="s">
        <v>1</v>
      </c>
      <c r="C6" s="82" t="s">
        <v>2</v>
      </c>
      <c r="D6" s="82" t="s">
        <v>32</v>
      </c>
      <c r="E6" s="82" t="s">
        <v>3</v>
      </c>
      <c r="F6" s="316" t="s">
        <v>4</v>
      </c>
    </row>
    <row r="7" spans="1:10" ht="12.75" customHeight="1">
      <c r="A7" s="317" t="s">
        <v>5</v>
      </c>
      <c r="B7" s="192"/>
      <c r="C7" s="193" t="s">
        <v>54</v>
      </c>
      <c r="D7" s="194"/>
      <c r="E7" s="194"/>
      <c r="F7" s="318"/>
    </row>
    <row r="8" spans="1:10" ht="12.75" customHeight="1">
      <c r="A8" s="319" t="s">
        <v>6</v>
      </c>
      <c r="B8" s="179" t="s">
        <v>136</v>
      </c>
      <c r="C8" s="180" t="s">
        <v>39</v>
      </c>
      <c r="D8" s="181"/>
      <c r="E8" s="182" t="s">
        <v>43</v>
      </c>
      <c r="F8" s="320">
        <v>1</v>
      </c>
      <c r="J8" s="242"/>
    </row>
    <row r="9" spans="1:10" ht="12.75" customHeight="1">
      <c r="A9" s="321" t="s">
        <v>18</v>
      </c>
      <c r="B9" s="76" t="s">
        <v>137</v>
      </c>
      <c r="C9" s="77" t="s">
        <v>40</v>
      </c>
      <c r="D9" s="78"/>
      <c r="E9" s="79" t="s">
        <v>43</v>
      </c>
      <c r="F9" s="322">
        <v>1</v>
      </c>
      <c r="J9" s="242"/>
    </row>
    <row r="10" spans="1:10" ht="12.75" customHeight="1">
      <c r="A10" s="321" t="s">
        <v>33</v>
      </c>
      <c r="B10" s="76" t="s">
        <v>138</v>
      </c>
      <c r="C10" s="77" t="s">
        <v>185</v>
      </c>
      <c r="D10" s="78"/>
      <c r="E10" s="79" t="s">
        <v>43</v>
      </c>
      <c r="F10" s="322">
        <v>1</v>
      </c>
      <c r="J10" s="242"/>
    </row>
    <row r="11" spans="1:10" ht="12.75" customHeight="1">
      <c r="A11" s="321" t="s">
        <v>34</v>
      </c>
      <c r="B11" s="76" t="s">
        <v>139</v>
      </c>
      <c r="C11" s="77" t="s">
        <v>41</v>
      </c>
      <c r="D11" s="78"/>
      <c r="E11" s="79" t="s">
        <v>43</v>
      </c>
      <c r="F11" s="322">
        <v>1</v>
      </c>
      <c r="J11" s="242"/>
    </row>
    <row r="12" spans="1:10" ht="12.75" customHeight="1">
      <c r="A12" s="321" t="s">
        <v>35</v>
      </c>
      <c r="B12" s="76" t="s">
        <v>186</v>
      </c>
      <c r="C12" s="77" t="s">
        <v>224</v>
      </c>
      <c r="D12" s="78"/>
      <c r="E12" s="79" t="s">
        <v>44</v>
      </c>
      <c r="F12" s="322">
        <v>1</v>
      </c>
      <c r="J12" s="242"/>
    </row>
    <row r="13" spans="1:10" ht="12.75" customHeight="1">
      <c r="A13" s="321" t="s">
        <v>187</v>
      </c>
      <c r="B13" s="76" t="s">
        <v>186</v>
      </c>
      <c r="C13" s="77" t="s">
        <v>475</v>
      </c>
      <c r="D13" s="78"/>
      <c r="E13" s="79" t="s">
        <v>44</v>
      </c>
      <c r="F13" s="322">
        <v>16</v>
      </c>
      <c r="J13" s="242"/>
    </row>
    <row r="14" spans="1:10" ht="12.75" customHeight="1">
      <c r="A14" s="321" t="s">
        <v>476</v>
      </c>
      <c r="B14" s="195" t="s">
        <v>71</v>
      </c>
      <c r="C14" s="196" t="s">
        <v>42</v>
      </c>
      <c r="D14" s="197"/>
      <c r="E14" s="198" t="s">
        <v>73</v>
      </c>
      <c r="F14" s="324">
        <v>175</v>
      </c>
      <c r="J14" s="242"/>
    </row>
    <row r="15" spans="1:10" ht="12.75" customHeight="1">
      <c r="A15" s="325" t="s">
        <v>7</v>
      </c>
      <c r="B15" s="199"/>
      <c r="C15" s="200" t="s">
        <v>55</v>
      </c>
      <c r="D15" s="201"/>
      <c r="E15" s="202"/>
      <c r="F15" s="326"/>
      <c r="J15" s="242"/>
    </row>
    <row r="16" spans="1:10" ht="12.75" customHeight="1">
      <c r="A16" s="319" t="s">
        <v>9</v>
      </c>
      <c r="B16" s="183" t="s">
        <v>148</v>
      </c>
      <c r="C16" s="184" t="s">
        <v>149</v>
      </c>
      <c r="D16" s="185"/>
      <c r="E16" s="185" t="s">
        <v>73</v>
      </c>
      <c r="F16" s="320">
        <v>1508430</v>
      </c>
      <c r="J16" s="242"/>
    </row>
    <row r="17" spans="1:10" s="80" customFormat="1" ht="12.75" customHeight="1">
      <c r="A17" s="319" t="s">
        <v>166</v>
      </c>
      <c r="B17" s="183" t="s">
        <v>235</v>
      </c>
      <c r="C17" s="184" t="s">
        <v>75</v>
      </c>
      <c r="D17" s="185"/>
      <c r="E17" s="185" t="s">
        <v>65</v>
      </c>
      <c r="F17" s="320">
        <v>24176.828000000001</v>
      </c>
      <c r="J17" s="242"/>
    </row>
    <row r="18" spans="1:10" s="80" customFormat="1" ht="12.75" customHeight="1">
      <c r="A18" s="319" t="s">
        <v>167</v>
      </c>
      <c r="B18" s="183" t="s">
        <v>236</v>
      </c>
      <c r="C18" s="184" t="s">
        <v>247</v>
      </c>
      <c r="D18" s="185"/>
      <c r="E18" s="185" t="s">
        <v>65</v>
      </c>
      <c r="F18" s="320">
        <v>94270.683999999994</v>
      </c>
      <c r="J18" s="242"/>
    </row>
    <row r="19" spans="1:10" s="80" customFormat="1" ht="12.75" customHeight="1">
      <c r="A19" s="319" t="s">
        <v>168</v>
      </c>
      <c r="B19" s="183" t="s">
        <v>237</v>
      </c>
      <c r="C19" s="184" t="s">
        <v>248</v>
      </c>
      <c r="D19" s="185"/>
      <c r="E19" s="185" t="s">
        <v>65</v>
      </c>
      <c r="F19" s="320">
        <v>67508.297999999995</v>
      </c>
      <c r="J19" s="242"/>
    </row>
    <row r="20" spans="1:10" s="80" customFormat="1" ht="12.75" customHeight="1">
      <c r="A20" s="319" t="s">
        <v>169</v>
      </c>
      <c r="B20" s="183" t="s">
        <v>238</v>
      </c>
      <c r="C20" s="184" t="s">
        <v>249</v>
      </c>
      <c r="D20" s="185"/>
      <c r="E20" s="185" t="s">
        <v>65</v>
      </c>
      <c r="F20" s="320">
        <v>47215.947999999997</v>
      </c>
      <c r="J20" s="242"/>
    </row>
    <row r="21" spans="1:10" s="80" customFormat="1" ht="12.75" customHeight="1">
      <c r="A21" s="319" t="s">
        <v>170</v>
      </c>
      <c r="B21" s="183" t="s">
        <v>239</v>
      </c>
      <c r="C21" s="184" t="s">
        <v>250</v>
      </c>
      <c r="D21" s="185"/>
      <c r="E21" s="185" t="s">
        <v>73</v>
      </c>
      <c r="F21" s="320">
        <v>41207.061999999998</v>
      </c>
      <c r="J21" s="242"/>
    </row>
    <row r="22" spans="1:10" s="80" customFormat="1" ht="12.75" customHeight="1">
      <c r="A22" s="319" t="s">
        <v>171</v>
      </c>
      <c r="B22" s="183" t="s">
        <v>240</v>
      </c>
      <c r="C22" s="184" t="s">
        <v>251</v>
      </c>
      <c r="D22" s="185"/>
      <c r="E22" s="185" t="s">
        <v>65</v>
      </c>
      <c r="F22" s="320">
        <v>57174.52</v>
      </c>
      <c r="J22" s="242"/>
    </row>
    <row r="23" spans="1:10" s="80" customFormat="1" ht="12.75" customHeight="1">
      <c r="A23" s="319" t="s">
        <v>172</v>
      </c>
      <c r="B23" s="183" t="s">
        <v>241</v>
      </c>
      <c r="C23" s="184" t="s">
        <v>252</v>
      </c>
      <c r="D23" s="185"/>
      <c r="E23" s="185" t="s">
        <v>65</v>
      </c>
      <c r="F23" s="320">
        <v>25696.606</v>
      </c>
      <c r="J23" s="242"/>
    </row>
    <row r="24" spans="1:10" s="80" customFormat="1" ht="12.75" customHeight="1">
      <c r="A24" s="319" t="s">
        <v>173</v>
      </c>
      <c r="B24" s="183" t="s">
        <v>242</v>
      </c>
      <c r="C24" s="184" t="s">
        <v>253</v>
      </c>
      <c r="D24" s="185"/>
      <c r="E24" s="185" t="s">
        <v>65</v>
      </c>
      <c r="F24" s="320">
        <v>26395.837</v>
      </c>
      <c r="J24" s="242"/>
    </row>
    <row r="25" spans="1:10" ht="12.75" customHeight="1">
      <c r="A25" s="319" t="s">
        <v>174</v>
      </c>
      <c r="B25" s="183" t="s">
        <v>243</v>
      </c>
      <c r="C25" s="184" t="s">
        <v>254</v>
      </c>
      <c r="D25" s="185"/>
      <c r="E25" s="185" t="s">
        <v>65</v>
      </c>
      <c r="F25" s="320">
        <v>23523.707999999999</v>
      </c>
      <c r="J25" s="242"/>
    </row>
    <row r="26" spans="1:10" ht="12.75" customHeight="1">
      <c r="A26" s="319" t="s">
        <v>175</v>
      </c>
      <c r="B26" s="183" t="s">
        <v>244</v>
      </c>
      <c r="C26" s="184" t="s">
        <v>255</v>
      </c>
      <c r="D26" s="185"/>
      <c r="E26" s="185" t="s">
        <v>65</v>
      </c>
      <c r="F26" s="320">
        <v>26350.909</v>
      </c>
      <c r="J26" s="242"/>
    </row>
    <row r="27" spans="1:10" ht="12.75" customHeight="1">
      <c r="A27" s="319" t="s">
        <v>176</v>
      </c>
      <c r="B27" s="183" t="s">
        <v>245</v>
      </c>
      <c r="C27" s="184" t="s">
        <v>256</v>
      </c>
      <c r="D27" s="185"/>
      <c r="E27" s="185" t="s">
        <v>65</v>
      </c>
      <c r="F27" s="320">
        <v>102198.04399999999</v>
      </c>
      <c r="J27" s="242"/>
    </row>
    <row r="28" spans="1:10" ht="12.75" customHeight="1">
      <c r="A28" s="319" t="s">
        <v>177</v>
      </c>
      <c r="B28" s="183" t="s">
        <v>246</v>
      </c>
      <c r="C28" s="184" t="s">
        <v>257</v>
      </c>
      <c r="D28" s="185"/>
      <c r="E28" s="185" t="s">
        <v>65</v>
      </c>
      <c r="F28" s="320">
        <v>17460.728999999999</v>
      </c>
      <c r="J28" s="242"/>
    </row>
    <row r="29" spans="1:10" ht="12.75" customHeight="1">
      <c r="A29" s="319" t="s">
        <v>178</v>
      </c>
      <c r="B29" s="183" t="s">
        <v>184</v>
      </c>
      <c r="C29" s="184" t="s">
        <v>147</v>
      </c>
      <c r="D29" s="185"/>
      <c r="E29" s="185" t="s">
        <v>65</v>
      </c>
      <c r="F29" s="327">
        <v>229578.524</v>
      </c>
      <c r="J29" s="242"/>
    </row>
    <row r="30" spans="1:10" ht="12.75" customHeight="1">
      <c r="A30" s="319" t="s">
        <v>179</v>
      </c>
      <c r="B30" s="183" t="s">
        <v>76</v>
      </c>
      <c r="C30" s="84" t="s">
        <v>45</v>
      </c>
      <c r="D30" s="85"/>
      <c r="E30" s="85" t="s">
        <v>65</v>
      </c>
      <c r="F30" s="328">
        <v>184456.23499999999</v>
      </c>
      <c r="J30" s="242"/>
    </row>
    <row r="31" spans="1:10" s="26" customFormat="1" ht="12.75" customHeight="1">
      <c r="A31" s="325"/>
      <c r="B31" s="206"/>
      <c r="C31" s="218" t="s">
        <v>150</v>
      </c>
      <c r="D31" s="201"/>
      <c r="E31" s="202"/>
      <c r="F31" s="326">
        <v>14456.235211153848</v>
      </c>
      <c r="J31" s="242"/>
    </row>
    <row r="32" spans="1:10" s="26" customFormat="1" ht="12.75" customHeight="1">
      <c r="A32" s="319" t="s">
        <v>215</v>
      </c>
      <c r="B32" s="83" t="s">
        <v>151</v>
      </c>
      <c r="C32" s="219" t="s">
        <v>152</v>
      </c>
      <c r="D32" s="220"/>
      <c r="E32" s="221" t="s">
        <v>65</v>
      </c>
      <c r="F32" s="320">
        <v>24134.880000000001</v>
      </c>
      <c r="J32" s="242"/>
    </row>
    <row r="33" spans="1:10" s="26" customFormat="1" ht="12.75" customHeight="1">
      <c r="A33" s="319" t="s">
        <v>216</v>
      </c>
      <c r="B33" s="83" t="s">
        <v>133</v>
      </c>
      <c r="C33" s="88" t="s">
        <v>153</v>
      </c>
      <c r="D33" s="222"/>
      <c r="E33" s="185" t="s">
        <v>73</v>
      </c>
      <c r="F33" s="322">
        <v>43442.79</v>
      </c>
      <c r="J33" s="242"/>
    </row>
    <row r="34" spans="1:10" s="26" customFormat="1" ht="12.75" customHeight="1">
      <c r="A34" s="319" t="s">
        <v>217</v>
      </c>
      <c r="B34" s="86" t="s">
        <v>154</v>
      </c>
      <c r="C34" s="88" t="s">
        <v>155</v>
      </c>
      <c r="D34" s="85"/>
      <c r="E34" s="85" t="s">
        <v>156</v>
      </c>
      <c r="F34" s="322">
        <v>82.28</v>
      </c>
      <c r="J34" s="242"/>
    </row>
    <row r="35" spans="1:10" s="26" customFormat="1" ht="12.75" customHeight="1">
      <c r="A35" s="319" t="s">
        <v>218</v>
      </c>
      <c r="B35" s="86" t="s">
        <v>157</v>
      </c>
      <c r="C35" s="88" t="s">
        <v>158</v>
      </c>
      <c r="D35" s="222"/>
      <c r="E35" s="222" t="s">
        <v>156</v>
      </c>
      <c r="F35" s="322">
        <v>27.425999999999998</v>
      </c>
      <c r="J35" s="242"/>
    </row>
    <row r="36" spans="1:10" s="26" customFormat="1" ht="12.75" customHeight="1">
      <c r="A36" s="319" t="s">
        <v>219</v>
      </c>
      <c r="B36" s="86" t="s">
        <v>159</v>
      </c>
      <c r="C36" s="88" t="s">
        <v>160</v>
      </c>
      <c r="D36" s="85"/>
      <c r="E36" s="85" t="s">
        <v>156</v>
      </c>
      <c r="F36" s="322">
        <v>27.425999999999998</v>
      </c>
      <c r="J36" s="242"/>
    </row>
    <row r="37" spans="1:10" s="26" customFormat="1" ht="12.75" customHeight="1">
      <c r="A37" s="319" t="s">
        <v>220</v>
      </c>
      <c r="B37" s="83" t="s">
        <v>161</v>
      </c>
      <c r="C37" s="88" t="s">
        <v>162</v>
      </c>
      <c r="D37" s="85"/>
      <c r="E37" s="85" t="s">
        <v>64</v>
      </c>
      <c r="F37" s="322">
        <v>962652.6</v>
      </c>
      <c r="J37" s="242"/>
    </row>
    <row r="38" spans="1:10" s="26" customFormat="1" ht="12.75" customHeight="1">
      <c r="A38" s="319" t="s">
        <v>225</v>
      </c>
      <c r="B38" s="243" t="s">
        <v>226</v>
      </c>
      <c r="C38" s="244" t="s">
        <v>227</v>
      </c>
      <c r="D38" s="222"/>
      <c r="E38" s="85" t="s">
        <v>64</v>
      </c>
      <c r="F38" s="323">
        <v>32895</v>
      </c>
      <c r="J38" s="242"/>
    </row>
    <row r="39" spans="1:10" s="26" customFormat="1" ht="12.75" customHeight="1">
      <c r="A39" s="329" t="s">
        <v>11</v>
      </c>
      <c r="B39" s="236"/>
      <c r="C39" s="233" t="s">
        <v>56</v>
      </c>
      <c r="D39" s="234"/>
      <c r="E39" s="235"/>
      <c r="F39" s="330"/>
      <c r="J39" s="242"/>
    </row>
    <row r="40" spans="1:10" s="26" customFormat="1" ht="12.75" customHeight="1">
      <c r="A40" s="331" t="s">
        <v>12</v>
      </c>
      <c r="B40" s="183" t="s">
        <v>77</v>
      </c>
      <c r="C40" s="186" t="s">
        <v>46</v>
      </c>
      <c r="D40" s="187"/>
      <c r="E40" s="185" t="s">
        <v>73</v>
      </c>
      <c r="F40" s="327">
        <v>539360.772</v>
      </c>
      <c r="J40" s="242"/>
    </row>
    <row r="41" spans="1:10" s="26" customFormat="1" ht="12.75" customHeight="1">
      <c r="A41" s="331" t="s">
        <v>13</v>
      </c>
      <c r="B41" s="83" t="s">
        <v>78</v>
      </c>
      <c r="C41" s="88" t="s">
        <v>93</v>
      </c>
      <c r="D41" s="89"/>
      <c r="E41" s="85" t="s">
        <v>65</v>
      </c>
      <c r="F41" s="328">
        <v>76790.346999999994</v>
      </c>
      <c r="J41" s="242"/>
    </row>
    <row r="42" spans="1:10" s="26" customFormat="1" ht="12.75" customHeight="1">
      <c r="A42" s="331" t="s">
        <v>22</v>
      </c>
      <c r="B42" s="83" t="s">
        <v>79</v>
      </c>
      <c r="C42" s="88" t="s">
        <v>94</v>
      </c>
      <c r="D42" s="241"/>
      <c r="E42" s="85" t="s">
        <v>65</v>
      </c>
      <c r="F42" s="328">
        <v>121127.63099999999</v>
      </c>
      <c r="J42" s="242"/>
    </row>
    <row r="43" spans="1:10" s="26" customFormat="1" ht="12.75" customHeight="1">
      <c r="A43" s="331" t="s">
        <v>23</v>
      </c>
      <c r="B43" s="83" t="s">
        <v>80</v>
      </c>
      <c r="C43" s="88" t="s">
        <v>36</v>
      </c>
      <c r="D43" s="89"/>
      <c r="E43" s="85" t="s">
        <v>73</v>
      </c>
      <c r="F43" s="328">
        <v>457085.4</v>
      </c>
      <c r="J43" s="242"/>
    </row>
    <row r="44" spans="1:10" s="26" customFormat="1" ht="12.75" customHeight="1">
      <c r="A44" s="331" t="s">
        <v>26</v>
      </c>
      <c r="B44" s="83" t="s">
        <v>81</v>
      </c>
      <c r="C44" s="88" t="s">
        <v>92</v>
      </c>
      <c r="D44" s="89"/>
      <c r="E44" s="85" t="s">
        <v>73</v>
      </c>
      <c r="F44" s="328">
        <v>457085.4</v>
      </c>
      <c r="J44" s="242"/>
    </row>
    <row r="45" spans="1:10" s="26" customFormat="1" ht="12.75" customHeight="1">
      <c r="A45" s="331" t="s">
        <v>27</v>
      </c>
      <c r="B45" s="83" t="s">
        <v>82</v>
      </c>
      <c r="C45" s="88" t="s">
        <v>47</v>
      </c>
      <c r="D45" s="89"/>
      <c r="E45" s="85" t="s">
        <v>37</v>
      </c>
      <c r="F45" s="328">
        <v>548.50199999999995</v>
      </c>
      <c r="J45" s="242"/>
    </row>
    <row r="46" spans="1:10" s="26" customFormat="1" ht="12.75" customHeight="1">
      <c r="A46" s="331" t="s">
        <v>214</v>
      </c>
      <c r="B46" s="83" t="s">
        <v>83</v>
      </c>
      <c r="C46" s="88" t="s">
        <v>200</v>
      </c>
      <c r="D46" s="89"/>
      <c r="E46" s="85" t="s">
        <v>37</v>
      </c>
      <c r="F46" s="328">
        <v>1371.2560000000001</v>
      </c>
      <c r="J46" s="242"/>
    </row>
    <row r="47" spans="1:10" ht="12.75" customHeight="1">
      <c r="A47" s="325" t="s">
        <v>14</v>
      </c>
      <c r="B47" s="208"/>
      <c r="C47" s="208" t="s">
        <v>57</v>
      </c>
      <c r="D47" s="201"/>
      <c r="E47" s="202"/>
      <c r="F47" s="326"/>
      <c r="J47" s="242"/>
    </row>
    <row r="48" spans="1:10" s="26" customFormat="1" ht="12.75" customHeight="1">
      <c r="A48" s="331" t="s">
        <v>180</v>
      </c>
      <c r="B48" s="183" t="s">
        <v>114</v>
      </c>
      <c r="C48" s="188" t="s">
        <v>146</v>
      </c>
      <c r="D48" s="189"/>
      <c r="E48" s="185" t="s">
        <v>49</v>
      </c>
      <c r="F48" s="320">
        <v>913379.96299999999</v>
      </c>
      <c r="J48" s="242"/>
    </row>
    <row r="49" spans="1:10" s="26" customFormat="1" ht="12.75" customHeight="1">
      <c r="A49" s="319" t="s">
        <v>181</v>
      </c>
      <c r="B49" s="76" t="s">
        <v>84</v>
      </c>
      <c r="C49" s="240" t="s">
        <v>223</v>
      </c>
      <c r="D49" s="78"/>
      <c r="E49" s="239" t="s">
        <v>49</v>
      </c>
      <c r="F49" s="322">
        <v>18936792.153999999</v>
      </c>
      <c r="J49" s="242"/>
    </row>
    <row r="50" spans="1:10" s="26" customFormat="1" ht="12.75" customHeight="1">
      <c r="A50" s="319" t="s">
        <v>182</v>
      </c>
      <c r="B50" s="76" t="s">
        <v>85</v>
      </c>
      <c r="C50" s="240" t="s">
        <v>48</v>
      </c>
      <c r="D50" s="78"/>
      <c r="E50" s="239" t="s">
        <v>49</v>
      </c>
      <c r="F50" s="328">
        <v>548.50199999999995</v>
      </c>
      <c r="J50" s="242"/>
    </row>
    <row r="51" spans="1:10" s="26" customFormat="1" ht="12.75" customHeight="1">
      <c r="A51" s="319" t="s">
        <v>183</v>
      </c>
      <c r="B51" s="179" t="s">
        <v>86</v>
      </c>
      <c r="C51" s="238" t="s">
        <v>201</v>
      </c>
      <c r="D51" s="78"/>
      <c r="E51" s="239" t="s">
        <v>49</v>
      </c>
      <c r="F51" s="322">
        <v>1371.2560000000001</v>
      </c>
      <c r="J51" s="242"/>
    </row>
    <row r="52" spans="1:10" ht="12.75" customHeight="1">
      <c r="A52" s="325" t="s">
        <v>28</v>
      </c>
      <c r="B52" s="199"/>
      <c r="C52" s="200" t="s">
        <v>58</v>
      </c>
      <c r="D52" s="201"/>
      <c r="E52" s="202"/>
      <c r="F52" s="326"/>
      <c r="J52" s="242"/>
    </row>
    <row r="53" spans="1:10" ht="12.75" customHeight="1">
      <c r="A53" s="331" t="s">
        <v>24</v>
      </c>
      <c r="B53" s="83" t="s">
        <v>202</v>
      </c>
      <c r="C53" s="237" t="s">
        <v>203</v>
      </c>
      <c r="D53" s="94"/>
      <c r="E53" s="93" t="s">
        <v>65</v>
      </c>
      <c r="F53" s="322">
        <v>20.8</v>
      </c>
      <c r="J53" s="242"/>
    </row>
    <row r="54" spans="1:10" ht="12.75" customHeight="1">
      <c r="A54" s="332" t="s">
        <v>25</v>
      </c>
      <c r="B54" s="94" t="s">
        <v>66</v>
      </c>
      <c r="C54" s="95" t="s">
        <v>67</v>
      </c>
      <c r="D54" s="94"/>
      <c r="E54" s="93" t="s">
        <v>65</v>
      </c>
      <c r="F54" s="322">
        <v>705.13</v>
      </c>
      <c r="J54" s="242"/>
    </row>
    <row r="55" spans="1:10" ht="12.75" customHeight="1">
      <c r="A55" s="331" t="s">
        <v>29</v>
      </c>
      <c r="B55" s="190" t="s">
        <v>204</v>
      </c>
      <c r="C55" s="191" t="s">
        <v>205</v>
      </c>
      <c r="D55" s="89"/>
      <c r="E55" s="93" t="s">
        <v>65</v>
      </c>
      <c r="F55" s="333">
        <v>299.14999999999998</v>
      </c>
      <c r="J55" s="242"/>
    </row>
    <row r="56" spans="1:10" ht="12.75" customHeight="1">
      <c r="A56" s="332" t="s">
        <v>30</v>
      </c>
      <c r="B56" s="190" t="s">
        <v>206</v>
      </c>
      <c r="C56" s="191" t="s">
        <v>208</v>
      </c>
      <c r="D56" s="89"/>
      <c r="E56" s="85" t="s">
        <v>10</v>
      </c>
      <c r="F56" s="334">
        <v>104</v>
      </c>
      <c r="J56" s="242"/>
    </row>
    <row r="57" spans="1:10" ht="12.75" customHeight="1">
      <c r="A57" s="332" t="s">
        <v>51</v>
      </c>
      <c r="B57" s="190" t="s">
        <v>207</v>
      </c>
      <c r="C57" s="191" t="s">
        <v>209</v>
      </c>
      <c r="D57" s="89"/>
      <c r="E57" s="85" t="s">
        <v>50</v>
      </c>
      <c r="F57" s="333">
        <v>14</v>
      </c>
      <c r="J57" s="242"/>
    </row>
    <row r="58" spans="1:10" ht="12.75" customHeight="1">
      <c r="A58" s="325" t="s">
        <v>31</v>
      </c>
      <c r="B58" s="209"/>
      <c r="C58" s="208" t="s">
        <v>63</v>
      </c>
      <c r="D58" s="210"/>
      <c r="E58" s="211"/>
      <c r="F58" s="335"/>
      <c r="J58" s="242"/>
    </row>
    <row r="59" spans="1:10" s="96" customFormat="1" ht="12.75" customHeight="1">
      <c r="A59" s="331" t="s">
        <v>52</v>
      </c>
      <c r="B59" s="186" t="s">
        <v>114</v>
      </c>
      <c r="C59" s="216" t="s">
        <v>127</v>
      </c>
      <c r="D59" s="187"/>
      <c r="E59" s="185" t="s">
        <v>64</v>
      </c>
      <c r="F59" s="320">
        <v>5772.4211789999999</v>
      </c>
      <c r="J59" s="242"/>
    </row>
    <row r="60" spans="1:10" s="96" customFormat="1" ht="12.75" customHeight="1">
      <c r="A60" s="331" t="s">
        <v>96</v>
      </c>
      <c r="B60" s="186" t="s">
        <v>113</v>
      </c>
      <c r="C60" s="216" t="s">
        <v>128</v>
      </c>
      <c r="D60" s="187"/>
      <c r="E60" s="185" t="s">
        <v>64</v>
      </c>
      <c r="F60" s="320">
        <v>0</v>
      </c>
      <c r="J60" s="242"/>
    </row>
    <row r="61" spans="1:10" ht="12.75" customHeight="1">
      <c r="A61" s="331" t="s">
        <v>53</v>
      </c>
      <c r="B61" s="83" t="s">
        <v>116</v>
      </c>
      <c r="C61" s="214" t="s">
        <v>131</v>
      </c>
      <c r="D61" s="89"/>
      <c r="E61" s="185" t="s">
        <v>64</v>
      </c>
      <c r="F61" s="322">
        <v>2266.3545887999999</v>
      </c>
      <c r="J61" s="242"/>
    </row>
    <row r="62" spans="1:10" ht="12.75" customHeight="1">
      <c r="A62" s="331" t="s">
        <v>69</v>
      </c>
      <c r="B62" s="83" t="s">
        <v>115</v>
      </c>
      <c r="C62" s="214" t="s">
        <v>132</v>
      </c>
      <c r="D62" s="89"/>
      <c r="E62" s="185" t="s">
        <v>64</v>
      </c>
      <c r="F62" s="322">
        <v>202.38200000000001</v>
      </c>
      <c r="J62" s="242"/>
    </row>
    <row r="63" spans="1:10" ht="12.75" customHeight="1">
      <c r="A63" s="331" t="s">
        <v>125</v>
      </c>
      <c r="B63" s="186" t="s">
        <v>114</v>
      </c>
      <c r="C63" s="217" t="s">
        <v>129</v>
      </c>
      <c r="D63" s="89"/>
      <c r="E63" s="85" t="s">
        <v>64</v>
      </c>
      <c r="F63" s="322">
        <v>2695.6019999999999</v>
      </c>
      <c r="J63" s="242"/>
    </row>
    <row r="64" spans="1:10" ht="12.75" customHeight="1">
      <c r="A64" s="331" t="s">
        <v>126</v>
      </c>
      <c r="B64" s="88" t="s">
        <v>113</v>
      </c>
      <c r="C64" s="217" t="s">
        <v>130</v>
      </c>
      <c r="D64" s="88"/>
      <c r="E64" s="185" t="s">
        <v>64</v>
      </c>
      <c r="F64" s="323">
        <v>4235.9459999999999</v>
      </c>
      <c r="J64" s="242"/>
    </row>
    <row r="65" spans="1:10" ht="12.75" customHeight="1">
      <c r="A65" s="331" t="s">
        <v>142</v>
      </c>
      <c r="B65" s="83" t="s">
        <v>116</v>
      </c>
      <c r="C65" s="214" t="s">
        <v>140</v>
      </c>
      <c r="D65" s="89"/>
      <c r="E65" s="185" t="s">
        <v>64</v>
      </c>
      <c r="F65" s="323">
        <v>63.338150399999989</v>
      </c>
      <c r="J65" s="242"/>
    </row>
    <row r="66" spans="1:10" ht="12.75" customHeight="1">
      <c r="A66" s="331" t="s">
        <v>143</v>
      </c>
      <c r="B66" s="86" t="s">
        <v>115</v>
      </c>
      <c r="C66" s="215" t="s">
        <v>141</v>
      </c>
      <c r="D66" s="89"/>
      <c r="E66" s="185" t="s">
        <v>64</v>
      </c>
      <c r="F66" s="323">
        <v>5.6559999999999997</v>
      </c>
      <c r="J66" s="242"/>
    </row>
    <row r="67" spans="1:10" ht="12.75" customHeight="1">
      <c r="A67" s="331" t="s">
        <v>144</v>
      </c>
      <c r="B67" s="83" t="s">
        <v>190</v>
      </c>
      <c r="C67" s="217" t="s">
        <v>191</v>
      </c>
      <c r="D67" s="232"/>
      <c r="E67" s="85" t="s">
        <v>64</v>
      </c>
      <c r="F67" s="323">
        <v>3288</v>
      </c>
      <c r="J67" s="242"/>
    </row>
    <row r="68" spans="1:10" ht="12.75" customHeight="1">
      <c r="A68" s="331" t="s">
        <v>145</v>
      </c>
      <c r="B68" s="83" t="s">
        <v>188</v>
      </c>
      <c r="C68" s="217" t="s">
        <v>189</v>
      </c>
      <c r="D68" s="232"/>
      <c r="E68" s="85" t="s">
        <v>64</v>
      </c>
      <c r="F68" s="323">
        <v>0</v>
      </c>
      <c r="J68" s="242"/>
    </row>
    <row r="69" spans="1:10" ht="12.75" customHeight="1">
      <c r="A69" s="336" t="s">
        <v>38</v>
      </c>
      <c r="B69" s="209"/>
      <c r="C69" s="200" t="s">
        <v>59</v>
      </c>
      <c r="D69" s="201"/>
      <c r="E69" s="201"/>
      <c r="F69" s="337"/>
      <c r="J69" s="242"/>
    </row>
    <row r="70" spans="1:10" ht="12.75" customHeight="1">
      <c r="A70" s="338" t="s">
        <v>61</v>
      </c>
      <c r="B70" s="183" t="s">
        <v>70</v>
      </c>
      <c r="C70" s="186" t="s">
        <v>210</v>
      </c>
      <c r="D70" s="187"/>
      <c r="E70" s="185" t="s">
        <v>73</v>
      </c>
      <c r="F70" s="320">
        <v>22855</v>
      </c>
      <c r="J70" s="242"/>
    </row>
    <row r="71" spans="1:10" ht="12.75" customHeight="1">
      <c r="A71" s="338" t="s">
        <v>68</v>
      </c>
      <c r="B71" s="183" t="s">
        <v>72</v>
      </c>
      <c r="C71" s="87" t="s">
        <v>211</v>
      </c>
      <c r="D71" s="187"/>
      <c r="E71" s="185" t="s">
        <v>73</v>
      </c>
      <c r="F71" s="320">
        <v>9283</v>
      </c>
      <c r="J71" s="242"/>
    </row>
    <row r="72" spans="1:10" ht="12.75" customHeight="1">
      <c r="A72" s="338" t="s">
        <v>192</v>
      </c>
      <c r="B72" s="86" t="s">
        <v>71</v>
      </c>
      <c r="C72" s="186" t="s">
        <v>95</v>
      </c>
      <c r="D72" s="90"/>
      <c r="E72" s="91" t="s">
        <v>50</v>
      </c>
      <c r="F72" s="322">
        <v>391.64</v>
      </c>
      <c r="J72" s="242"/>
    </row>
    <row r="73" spans="1:10" ht="12.75" customHeight="1">
      <c r="A73" s="338"/>
      <c r="B73" s="203"/>
      <c r="C73" s="204"/>
      <c r="D73" s="207"/>
      <c r="E73" s="205"/>
      <c r="F73" s="324"/>
      <c r="J73" s="242"/>
    </row>
    <row r="74" spans="1:10" ht="12.75" customHeight="1">
      <c r="A74" s="339" t="s">
        <v>60</v>
      </c>
      <c r="B74" s="212"/>
      <c r="C74" s="218" t="s">
        <v>165</v>
      </c>
      <c r="D74" s="201"/>
      <c r="E74" s="201"/>
      <c r="F74" s="337"/>
      <c r="J74" s="242"/>
    </row>
    <row r="75" spans="1:10" ht="12.75" customHeight="1">
      <c r="A75" s="338" t="s">
        <v>193</v>
      </c>
      <c r="B75" s="83" t="s">
        <v>212</v>
      </c>
      <c r="C75" s="92" t="s">
        <v>230</v>
      </c>
      <c r="D75" s="83"/>
      <c r="E75" s="93" t="s">
        <v>73</v>
      </c>
      <c r="F75" s="322">
        <v>1279800</v>
      </c>
      <c r="J75" s="242"/>
    </row>
    <row r="76" spans="1:10" ht="12.75" customHeight="1">
      <c r="A76" s="338" t="s">
        <v>194</v>
      </c>
      <c r="B76" s="83" t="s">
        <v>74</v>
      </c>
      <c r="C76" s="92" t="s">
        <v>134</v>
      </c>
      <c r="D76" s="89"/>
      <c r="E76" s="85" t="s">
        <v>65</v>
      </c>
      <c r="F76" s="322">
        <v>88695</v>
      </c>
      <c r="J76" s="242"/>
    </row>
    <row r="77" spans="1:10" ht="12.75" customHeight="1">
      <c r="A77" s="338" t="s">
        <v>213</v>
      </c>
      <c r="B77" s="83" t="s">
        <v>231</v>
      </c>
      <c r="C77" s="92" t="s">
        <v>232</v>
      </c>
      <c r="D77" s="89"/>
      <c r="E77" s="93" t="s">
        <v>73</v>
      </c>
      <c r="F77" s="322">
        <v>295650</v>
      </c>
      <c r="J77" s="242"/>
    </row>
    <row r="78" spans="1:10" ht="12.75" customHeight="1">
      <c r="A78" s="338" t="s">
        <v>228</v>
      </c>
      <c r="B78" s="83" t="s">
        <v>74</v>
      </c>
      <c r="C78" s="92" t="s">
        <v>233</v>
      </c>
      <c r="D78" s="89"/>
      <c r="E78" s="85" t="s">
        <v>65</v>
      </c>
      <c r="F78" s="322">
        <v>110538</v>
      </c>
      <c r="J78" s="242"/>
    </row>
    <row r="79" spans="1:10" ht="12.75" customHeight="1" thickBot="1">
      <c r="A79" s="340" t="s">
        <v>229</v>
      </c>
      <c r="B79" s="341" t="s">
        <v>231</v>
      </c>
      <c r="C79" s="342" t="s">
        <v>234</v>
      </c>
      <c r="D79" s="343"/>
      <c r="E79" s="344" t="s">
        <v>73</v>
      </c>
      <c r="F79" s="345">
        <v>368460</v>
      </c>
      <c r="J79" s="242"/>
    </row>
    <row r="80" spans="1:10">
      <c r="A80" s="52"/>
      <c r="B80" s="52"/>
      <c r="C80" s="52"/>
      <c r="D80" s="52"/>
      <c r="E80" s="52"/>
      <c r="F80" s="53"/>
      <c r="J80" s="242"/>
    </row>
    <row r="81" spans="1:10">
      <c r="A81" s="32"/>
      <c r="B81" s="32"/>
      <c r="C81" s="33"/>
      <c r="D81" s="33"/>
      <c r="E81" s="32"/>
      <c r="F81" s="34"/>
      <c r="J81" s="242"/>
    </row>
    <row r="82" spans="1:10" ht="12.75">
      <c r="A82" s="65"/>
      <c r="B82" s="65"/>
      <c r="C82" s="66"/>
      <c r="D82" s="67"/>
      <c r="E82" s="67"/>
      <c r="F82" s="67"/>
      <c r="J82" s="242"/>
    </row>
    <row r="83" spans="1:10">
      <c r="A83" s="39"/>
      <c r="B83" s="68"/>
      <c r="C83" s="69"/>
      <c r="D83" s="70"/>
      <c r="E83" s="71"/>
      <c r="F83" s="72"/>
      <c r="J83" s="242"/>
    </row>
    <row r="84" spans="1:10">
      <c r="A84" s="39"/>
      <c r="B84" s="68"/>
      <c r="C84" s="69"/>
      <c r="D84" s="70"/>
      <c r="E84" s="71"/>
      <c r="F84" s="72"/>
      <c r="J84" s="242"/>
    </row>
    <row r="85" spans="1:10">
      <c r="A85" s="39"/>
      <c r="B85" s="68"/>
      <c r="C85" s="69"/>
      <c r="D85" s="70"/>
      <c r="E85" s="71"/>
      <c r="F85" s="72"/>
      <c r="J85" s="242"/>
    </row>
    <row r="86" spans="1:10">
      <c r="A86" s="39"/>
      <c r="B86" s="68"/>
      <c r="C86" s="69"/>
      <c r="D86" s="70"/>
      <c r="E86" s="71"/>
      <c r="F86" s="72"/>
      <c r="J86" s="242"/>
    </row>
    <row r="87" spans="1:10">
      <c r="A87" s="39"/>
      <c r="B87" s="68"/>
      <c r="C87" s="69"/>
      <c r="D87" s="70"/>
      <c r="E87" s="71"/>
      <c r="F87" s="72"/>
      <c r="J87" s="242"/>
    </row>
    <row r="88" spans="1:10">
      <c r="A88" s="39"/>
      <c r="B88" s="68"/>
      <c r="C88" s="69"/>
      <c r="D88" s="70"/>
      <c r="E88" s="71"/>
      <c r="F88" s="72"/>
      <c r="J88" s="242"/>
    </row>
    <row r="89" spans="1:10">
      <c r="A89" s="39"/>
      <c r="B89" s="39"/>
      <c r="C89" s="73"/>
      <c r="D89" s="74"/>
      <c r="E89" s="74"/>
      <c r="F89" s="74"/>
      <c r="J89" s="242"/>
    </row>
    <row r="90" spans="1:10">
      <c r="A90" s="39"/>
      <c r="B90" s="68"/>
      <c r="C90" s="70"/>
      <c r="D90" s="70"/>
      <c r="E90" s="71"/>
      <c r="F90" s="72"/>
      <c r="J90" s="242"/>
    </row>
    <row r="91" spans="1:10">
      <c r="A91" s="39"/>
      <c r="B91" s="68"/>
      <c r="C91" s="75"/>
      <c r="D91" s="75"/>
      <c r="E91" s="71"/>
      <c r="F91" s="72"/>
      <c r="J91" s="242"/>
    </row>
    <row r="92" spans="1:10">
      <c r="A92" s="39"/>
      <c r="B92" s="54"/>
      <c r="C92" s="30"/>
      <c r="D92" s="30"/>
      <c r="E92" s="31"/>
      <c r="F92" s="55"/>
      <c r="J92" s="242"/>
    </row>
    <row r="93" spans="1:10">
      <c r="A93" s="39"/>
      <c r="B93" s="54"/>
      <c r="C93" s="30"/>
      <c r="D93" s="30"/>
      <c r="E93" s="31"/>
      <c r="F93" s="55"/>
      <c r="J93" s="242"/>
    </row>
    <row r="94" spans="1:10">
      <c r="A94" s="39"/>
      <c r="B94" s="54"/>
      <c r="C94" s="30"/>
      <c r="D94" s="30"/>
      <c r="E94" s="31"/>
      <c r="F94" s="55"/>
      <c r="J94" s="242"/>
    </row>
    <row r="95" spans="1:10">
      <c r="A95" s="39"/>
      <c r="B95" s="54"/>
      <c r="C95" s="30"/>
      <c r="D95" s="30"/>
      <c r="E95" s="31"/>
      <c r="F95" s="55"/>
      <c r="J95" s="242"/>
    </row>
    <row r="96" spans="1:10">
      <c r="A96" s="39"/>
      <c r="B96" s="54"/>
      <c r="C96" s="30"/>
      <c r="D96" s="30"/>
      <c r="E96" s="31"/>
      <c r="F96" s="55"/>
      <c r="J96" s="242"/>
    </row>
    <row r="97" spans="1:10">
      <c r="A97" s="39"/>
      <c r="B97" s="54"/>
      <c r="C97" s="30"/>
      <c r="D97" s="30"/>
      <c r="E97" s="31"/>
      <c r="F97" s="55"/>
      <c r="J97" s="242"/>
    </row>
    <row r="98" spans="1:10">
      <c r="A98" s="39"/>
      <c r="B98" s="54"/>
      <c r="C98" s="29"/>
      <c r="D98" s="29"/>
      <c r="E98" s="31"/>
      <c r="F98" s="55"/>
      <c r="J98" s="242"/>
    </row>
    <row r="99" spans="1:10">
      <c r="A99" s="48"/>
      <c r="B99" s="48"/>
      <c r="C99" s="57"/>
      <c r="D99" s="58"/>
      <c r="E99" s="58"/>
      <c r="F99" s="58"/>
      <c r="J99" s="242"/>
    </row>
    <row r="100" spans="1:10">
      <c r="A100" s="39"/>
      <c r="B100" s="54"/>
      <c r="C100" s="29"/>
      <c r="D100" s="29"/>
      <c r="E100" s="31"/>
      <c r="F100" s="55"/>
      <c r="J100" s="242"/>
    </row>
    <row r="101" spans="1:10">
      <c r="A101" s="39"/>
      <c r="B101" s="54"/>
      <c r="C101" s="29"/>
      <c r="D101" s="29"/>
      <c r="E101" s="31"/>
      <c r="F101" s="55"/>
      <c r="J101" s="242"/>
    </row>
    <row r="102" spans="1:10">
      <c r="A102" s="39"/>
      <c r="B102" s="54"/>
      <c r="C102" s="29"/>
      <c r="D102" s="29"/>
      <c r="E102" s="31"/>
      <c r="F102" s="55"/>
      <c r="J102" s="242"/>
    </row>
    <row r="103" spans="1:10">
      <c r="A103" s="39"/>
      <c r="B103" s="54"/>
      <c r="C103" s="29"/>
      <c r="D103" s="29"/>
      <c r="E103" s="31"/>
      <c r="F103" s="55"/>
      <c r="J103" s="242"/>
    </row>
    <row r="104" spans="1:10">
      <c r="A104" s="39"/>
      <c r="B104" s="54"/>
      <c r="C104" s="29"/>
      <c r="D104" s="29"/>
      <c r="E104" s="31"/>
      <c r="F104" s="55"/>
      <c r="J104" s="242"/>
    </row>
    <row r="105" spans="1:10">
      <c r="A105" s="39"/>
      <c r="B105" s="54"/>
      <c r="C105" s="29"/>
      <c r="D105" s="29"/>
      <c r="E105" s="31"/>
      <c r="F105" s="55"/>
      <c r="J105" s="242"/>
    </row>
    <row r="106" spans="1:10">
      <c r="A106" s="39"/>
      <c r="B106" s="54"/>
      <c r="C106" s="29"/>
      <c r="D106" s="29"/>
      <c r="E106" s="31"/>
      <c r="F106" s="55"/>
      <c r="J106" s="242"/>
    </row>
    <row r="107" spans="1:10">
      <c r="A107" s="39"/>
      <c r="B107" s="54"/>
      <c r="C107" s="29"/>
      <c r="D107" s="29"/>
      <c r="E107" s="31"/>
      <c r="F107" s="55"/>
      <c r="J107" s="242"/>
    </row>
    <row r="108" spans="1:10">
      <c r="A108" s="45"/>
      <c r="B108" s="45"/>
      <c r="C108" s="57"/>
      <c r="D108" s="58"/>
      <c r="E108" s="58"/>
      <c r="F108" s="58"/>
      <c r="J108" s="242"/>
    </row>
    <row r="109" spans="1:10">
      <c r="A109" s="39"/>
      <c r="B109" s="54"/>
      <c r="C109" s="29"/>
      <c r="D109" s="29"/>
      <c r="E109" s="31"/>
      <c r="F109" s="55"/>
      <c r="J109" s="242"/>
    </row>
    <row r="110" spans="1:10">
      <c r="A110" s="39"/>
      <c r="B110" s="54"/>
      <c r="C110" s="29"/>
      <c r="D110" s="29"/>
      <c r="E110" s="31"/>
      <c r="F110" s="55"/>
      <c r="J110" s="242"/>
    </row>
    <row r="111" spans="1:10">
      <c r="A111" s="39"/>
      <c r="B111" s="54"/>
      <c r="C111" s="29"/>
      <c r="D111" s="29"/>
      <c r="E111" s="31"/>
      <c r="F111" s="59"/>
      <c r="J111" s="242"/>
    </row>
    <row r="112" spans="1:10">
      <c r="A112" s="39"/>
      <c r="B112" s="54"/>
      <c r="C112" s="29"/>
      <c r="D112" s="29"/>
      <c r="E112" s="31"/>
      <c r="F112" s="55"/>
      <c r="J112" s="242"/>
    </row>
    <row r="113" spans="1:10">
      <c r="A113" s="39"/>
      <c r="B113" s="54"/>
      <c r="C113" s="29"/>
      <c r="D113" s="29"/>
      <c r="E113" s="31"/>
      <c r="F113" s="55"/>
      <c r="J113" s="242"/>
    </row>
    <row r="114" spans="1:10">
      <c r="A114" s="48"/>
      <c r="B114" s="48"/>
      <c r="C114" s="57"/>
      <c r="D114" s="58"/>
      <c r="E114" s="58"/>
      <c r="F114" s="58"/>
      <c r="J114" s="242"/>
    </row>
    <row r="115" spans="1:10">
      <c r="A115" s="39"/>
      <c r="B115" s="54"/>
      <c r="C115" s="29"/>
      <c r="D115" s="29"/>
      <c r="E115" s="31"/>
      <c r="F115" s="29"/>
      <c r="J115" s="242"/>
    </row>
    <row r="116" spans="1:10">
      <c r="A116" s="39"/>
      <c r="B116" s="54"/>
      <c r="C116" s="29"/>
      <c r="D116" s="29"/>
      <c r="E116" s="31"/>
      <c r="F116" s="29"/>
      <c r="J116" s="242"/>
    </row>
    <row r="117" spans="1:10">
      <c r="A117" s="39"/>
      <c r="B117" s="54"/>
      <c r="C117" s="29"/>
      <c r="D117" s="29"/>
      <c r="E117" s="31"/>
      <c r="F117" s="29"/>
      <c r="J117" s="242"/>
    </row>
    <row r="118" spans="1:10">
      <c r="A118" s="39"/>
      <c r="B118" s="54"/>
      <c r="C118" s="29"/>
      <c r="D118" s="29"/>
      <c r="E118" s="31"/>
      <c r="F118" s="29"/>
      <c r="J118" s="242"/>
    </row>
    <row r="119" spans="1:10">
      <c r="A119" s="39"/>
      <c r="B119" s="54"/>
      <c r="C119" s="29"/>
      <c r="D119" s="29"/>
      <c r="E119" s="31"/>
      <c r="F119" s="29"/>
      <c r="J119" s="242"/>
    </row>
    <row r="120" spans="1:10">
      <c r="A120" s="39"/>
      <c r="B120" s="54"/>
      <c r="C120" s="29"/>
      <c r="D120" s="29"/>
      <c r="E120" s="31"/>
      <c r="F120" s="29"/>
      <c r="J120" s="242"/>
    </row>
    <row r="121" spans="1:10">
      <c r="A121" s="39"/>
      <c r="B121" s="54"/>
      <c r="C121" s="29"/>
      <c r="D121" s="29"/>
      <c r="E121" s="31"/>
      <c r="F121" s="29"/>
      <c r="J121" s="242"/>
    </row>
    <row r="122" spans="1:10">
      <c r="A122" s="39"/>
      <c r="B122" s="54"/>
      <c r="C122" s="29"/>
      <c r="D122" s="29"/>
      <c r="E122" s="31"/>
      <c r="F122" s="54"/>
      <c r="J122" s="242"/>
    </row>
    <row r="123" spans="1:10">
      <c r="A123" s="39"/>
      <c r="B123" s="54"/>
      <c r="C123" s="29"/>
      <c r="D123" s="29"/>
      <c r="E123" s="31"/>
      <c r="F123" s="54"/>
      <c r="J123" s="242"/>
    </row>
    <row r="124" spans="1:10">
      <c r="A124" s="39"/>
      <c r="B124" s="54"/>
      <c r="C124" s="29"/>
      <c r="D124" s="29"/>
      <c r="E124" s="31"/>
      <c r="F124" s="54"/>
      <c r="J124" s="242"/>
    </row>
    <row r="125" spans="1:10">
      <c r="A125" s="39"/>
      <c r="B125" s="54"/>
      <c r="C125" s="29"/>
      <c r="D125" s="29"/>
      <c r="E125" s="31"/>
      <c r="F125" s="56"/>
      <c r="J125" s="242"/>
    </row>
    <row r="126" spans="1:10">
      <c r="A126" s="39"/>
      <c r="B126" s="54"/>
      <c r="C126" s="29"/>
      <c r="D126" s="29"/>
      <c r="E126" s="31"/>
      <c r="F126" s="56"/>
      <c r="J126" s="242"/>
    </row>
    <row r="127" spans="1:10">
      <c r="A127" s="39"/>
      <c r="B127" s="54"/>
      <c r="C127" s="29"/>
      <c r="D127" s="29"/>
      <c r="E127" s="31"/>
      <c r="F127" s="56"/>
      <c r="J127" s="242"/>
    </row>
    <row r="128" spans="1:10">
      <c r="A128" s="39"/>
      <c r="B128" s="54"/>
      <c r="C128" s="29"/>
      <c r="D128" s="29"/>
      <c r="E128" s="31"/>
      <c r="F128" s="56"/>
      <c r="J128" s="242"/>
    </row>
    <row r="129" spans="1:10">
      <c r="A129" s="39"/>
      <c r="B129" s="54"/>
      <c r="C129" s="29"/>
      <c r="D129" s="29"/>
      <c r="E129" s="31"/>
      <c r="F129" s="56"/>
      <c r="J129" s="242"/>
    </row>
    <row r="130" spans="1:10">
      <c r="A130" s="39"/>
      <c r="B130" s="54"/>
      <c r="C130" s="29"/>
      <c r="D130" s="29"/>
      <c r="E130" s="31"/>
      <c r="F130" s="56"/>
      <c r="J130" s="242"/>
    </row>
    <row r="131" spans="1:10">
      <c r="A131" s="39"/>
      <c r="B131" s="54"/>
      <c r="C131" s="29"/>
      <c r="D131" s="29"/>
      <c r="E131" s="31"/>
      <c r="F131" s="56"/>
      <c r="J131" s="242"/>
    </row>
    <row r="132" spans="1:10">
      <c r="A132" s="39"/>
      <c r="B132" s="54"/>
      <c r="C132" s="29"/>
      <c r="D132" s="29"/>
      <c r="E132" s="31"/>
      <c r="F132" s="56"/>
      <c r="J132" s="242"/>
    </row>
    <row r="133" spans="1:10">
      <c r="A133" s="39"/>
      <c r="B133" s="54"/>
      <c r="C133" s="29"/>
      <c r="D133" s="29"/>
      <c r="E133" s="31"/>
      <c r="F133" s="56"/>
      <c r="J133" s="242"/>
    </row>
    <row r="134" spans="1:10">
      <c r="A134" s="39"/>
      <c r="B134" s="54"/>
      <c r="C134" s="29"/>
      <c r="D134" s="29"/>
      <c r="E134" s="31"/>
      <c r="F134" s="56"/>
      <c r="J134" s="242"/>
    </row>
    <row r="135" spans="1:10">
      <c r="A135" s="39"/>
      <c r="B135" s="54"/>
      <c r="C135" s="29"/>
      <c r="D135" s="29"/>
      <c r="E135" s="31"/>
      <c r="F135" s="56"/>
      <c r="J135" s="242"/>
    </row>
    <row r="136" spans="1:10">
      <c r="A136" s="39"/>
      <c r="B136" s="54"/>
      <c r="C136" s="29"/>
      <c r="D136" s="29"/>
      <c r="E136" s="31"/>
      <c r="F136" s="56"/>
      <c r="J136" s="242"/>
    </row>
    <row r="137" spans="1:10">
      <c r="A137" s="39"/>
      <c r="B137" s="54"/>
      <c r="C137" s="29"/>
      <c r="D137" s="29"/>
      <c r="E137" s="31"/>
      <c r="F137" s="56"/>
      <c r="J137" s="242"/>
    </row>
    <row r="138" spans="1:10">
      <c r="A138" s="39"/>
      <c r="B138" s="54"/>
      <c r="C138" s="29"/>
      <c r="D138" s="29"/>
      <c r="E138" s="31"/>
      <c r="F138" s="56"/>
      <c r="J138" s="242"/>
    </row>
    <row r="139" spans="1:10">
      <c r="A139" s="39"/>
      <c r="B139" s="54"/>
      <c r="C139" s="29"/>
      <c r="D139" s="29"/>
      <c r="E139" s="31"/>
      <c r="F139" s="56"/>
      <c r="J139" s="242"/>
    </row>
    <row r="140" spans="1:10">
      <c r="A140" s="39"/>
      <c r="B140" s="54"/>
      <c r="C140" s="29"/>
      <c r="D140" s="29"/>
      <c r="E140" s="31"/>
      <c r="F140" s="56"/>
      <c r="J140" s="242"/>
    </row>
    <row r="141" spans="1:10">
      <c r="A141" s="39"/>
      <c r="B141" s="54"/>
      <c r="C141" s="29"/>
      <c r="D141" s="29"/>
      <c r="E141" s="31"/>
      <c r="F141" s="56"/>
      <c r="J141" s="242"/>
    </row>
    <row r="142" spans="1:10">
      <c r="A142" s="39"/>
      <c r="B142" s="54"/>
      <c r="C142" s="29"/>
      <c r="D142" s="29"/>
      <c r="E142" s="31"/>
      <c r="F142" s="56"/>
      <c r="J142" s="242"/>
    </row>
    <row r="143" spans="1:10">
      <c r="A143" s="39"/>
      <c r="B143" s="54"/>
      <c r="C143" s="29"/>
      <c r="D143" s="29"/>
      <c r="E143" s="31"/>
      <c r="F143" s="56"/>
      <c r="J143" s="242"/>
    </row>
    <row r="144" spans="1:10">
      <c r="A144" s="39"/>
      <c r="B144" s="54"/>
      <c r="C144" s="29"/>
      <c r="D144" s="29"/>
      <c r="E144" s="31"/>
      <c r="F144" s="56"/>
      <c r="J144" s="242"/>
    </row>
    <row r="145" spans="1:10">
      <c r="A145" s="39"/>
      <c r="B145" s="54"/>
      <c r="C145" s="29"/>
      <c r="D145" s="29"/>
      <c r="E145" s="31"/>
      <c r="F145" s="56"/>
      <c r="J145" s="242"/>
    </row>
    <row r="146" spans="1:10">
      <c r="A146" s="39"/>
      <c r="B146" s="54"/>
      <c r="C146" s="29"/>
      <c r="D146" s="29"/>
      <c r="E146" s="31"/>
      <c r="F146" s="56"/>
      <c r="J146" s="242"/>
    </row>
    <row r="147" spans="1:10">
      <c r="A147" s="39"/>
      <c r="B147" s="54"/>
      <c r="C147" s="29"/>
      <c r="D147" s="29"/>
      <c r="E147" s="31"/>
      <c r="F147" s="56"/>
      <c r="J147" s="242"/>
    </row>
    <row r="148" spans="1:10">
      <c r="A148" s="39"/>
      <c r="B148" s="54"/>
      <c r="C148" s="29"/>
      <c r="D148" s="29"/>
      <c r="E148" s="31"/>
      <c r="F148" s="56"/>
      <c r="J148" s="242"/>
    </row>
    <row r="149" spans="1:10">
      <c r="A149" s="39"/>
      <c r="B149" s="39"/>
      <c r="C149" s="41"/>
      <c r="D149" s="41"/>
      <c r="E149" s="39"/>
      <c r="F149" s="40"/>
      <c r="J149" s="242"/>
    </row>
    <row r="150" spans="1:10">
      <c r="A150" s="32"/>
      <c r="B150" s="32"/>
      <c r="C150" s="33"/>
      <c r="D150" s="33"/>
      <c r="E150" s="32"/>
      <c r="F150" s="34"/>
      <c r="J150" s="242"/>
    </row>
    <row r="151" spans="1:10">
      <c r="A151" s="32"/>
      <c r="B151" s="32"/>
      <c r="C151" s="33"/>
      <c r="D151" s="33"/>
      <c r="E151" s="32"/>
      <c r="F151" s="34"/>
      <c r="J151" s="242"/>
    </row>
    <row r="152" spans="1:10">
      <c r="A152" s="1132"/>
      <c r="B152" s="1132"/>
      <c r="C152" s="1132"/>
      <c r="D152" s="1132"/>
      <c r="E152" s="1132"/>
      <c r="F152" s="1132"/>
      <c r="J152" s="242"/>
    </row>
    <row r="153" spans="1:10">
      <c r="A153" s="39"/>
      <c r="B153" s="32"/>
      <c r="C153" s="33"/>
      <c r="D153" s="33"/>
      <c r="E153" s="32"/>
      <c r="F153" s="40"/>
      <c r="J153" s="242"/>
    </row>
    <row r="154" spans="1:10">
      <c r="A154" s="39"/>
      <c r="B154" s="39"/>
      <c r="C154" s="33"/>
      <c r="D154" s="41"/>
      <c r="E154" s="39"/>
      <c r="F154" s="40"/>
      <c r="J154" s="242"/>
    </row>
    <row r="155" spans="1:10">
      <c r="A155" s="39"/>
      <c r="B155" s="39"/>
      <c r="C155" s="33"/>
      <c r="D155" s="41"/>
      <c r="E155" s="39"/>
      <c r="F155" s="40"/>
      <c r="J155" s="242"/>
    </row>
    <row r="156" spans="1:10">
      <c r="A156" s="39"/>
      <c r="B156" s="39"/>
      <c r="C156" s="33"/>
      <c r="D156" s="41"/>
      <c r="E156" s="39"/>
      <c r="F156" s="40"/>
      <c r="J156" s="242"/>
    </row>
    <row r="157" spans="1:10">
      <c r="A157" s="39"/>
      <c r="B157" s="39"/>
      <c r="C157" s="33"/>
      <c r="D157" s="41"/>
      <c r="E157" s="39"/>
      <c r="F157" s="40"/>
      <c r="J157" s="242"/>
    </row>
    <row r="158" spans="1:10">
      <c r="A158" s="39"/>
      <c r="B158" s="39"/>
      <c r="C158" s="33"/>
      <c r="D158" s="41"/>
      <c r="E158" s="39"/>
      <c r="F158" s="40"/>
      <c r="J158" s="242"/>
    </row>
    <row r="159" spans="1:10">
      <c r="A159" s="39"/>
      <c r="B159" s="39"/>
      <c r="C159" s="33"/>
      <c r="D159" s="41"/>
      <c r="E159" s="39"/>
      <c r="F159" s="40"/>
      <c r="J159" s="242"/>
    </row>
    <row r="160" spans="1:10">
      <c r="A160" s="39"/>
      <c r="B160" s="39"/>
      <c r="C160" s="33"/>
      <c r="D160" s="41"/>
      <c r="E160" s="39"/>
      <c r="F160" s="40"/>
      <c r="J160" s="242"/>
    </row>
    <row r="161" spans="1:10">
      <c r="A161" s="39"/>
      <c r="B161" s="39"/>
      <c r="C161" s="33"/>
      <c r="D161" s="41"/>
      <c r="E161" s="39"/>
      <c r="F161" s="40"/>
      <c r="J161" s="242"/>
    </row>
    <row r="162" spans="1:10">
      <c r="A162" s="39"/>
      <c r="B162" s="39"/>
      <c r="C162" s="33"/>
      <c r="D162" s="41"/>
      <c r="E162" s="39"/>
      <c r="F162" s="40"/>
      <c r="J162" s="242"/>
    </row>
    <row r="163" spans="1:10">
      <c r="A163" s="39"/>
      <c r="B163" s="39"/>
      <c r="C163" s="33"/>
      <c r="D163" s="41"/>
      <c r="E163" s="39"/>
      <c r="F163" s="40"/>
      <c r="J163" s="242"/>
    </row>
    <row r="164" spans="1:10">
      <c r="A164" s="39"/>
      <c r="B164" s="39"/>
      <c r="C164" s="33"/>
      <c r="D164" s="41"/>
      <c r="E164" s="39"/>
      <c r="F164" s="40"/>
      <c r="J164" s="242"/>
    </row>
    <row r="165" spans="1:10">
      <c r="A165" s="39"/>
      <c r="B165" s="39"/>
      <c r="C165" s="33"/>
      <c r="D165" s="41"/>
      <c r="E165" s="39"/>
      <c r="F165" s="40"/>
      <c r="J165" s="242"/>
    </row>
    <row r="166" spans="1:10">
      <c r="A166" s="32"/>
      <c r="B166" s="32"/>
      <c r="C166" s="33"/>
      <c r="D166" s="33"/>
      <c r="E166" s="32"/>
      <c r="F166" s="34"/>
      <c r="J166" s="242"/>
    </row>
    <row r="167" spans="1:10">
      <c r="A167" s="35"/>
      <c r="B167" s="35"/>
      <c r="C167" s="36"/>
      <c r="D167" s="36"/>
      <c r="E167" s="37"/>
      <c r="F167" s="38"/>
      <c r="J167" s="242"/>
    </row>
    <row r="168" spans="1:10">
      <c r="A168" s="39"/>
      <c r="B168" s="42"/>
      <c r="C168" s="33"/>
      <c r="D168" s="33"/>
      <c r="E168" s="32"/>
      <c r="F168" s="34"/>
      <c r="J168" s="242"/>
    </row>
    <row r="169" spans="1:10">
      <c r="A169" s="39"/>
      <c r="B169" s="42"/>
      <c r="C169" s="33"/>
      <c r="D169" s="33"/>
      <c r="E169" s="32"/>
      <c r="F169" s="40"/>
      <c r="J169" s="242"/>
    </row>
    <row r="170" spans="1:10">
      <c r="A170" s="39"/>
      <c r="B170" s="42"/>
      <c r="C170" s="33"/>
      <c r="D170" s="33"/>
      <c r="E170" s="32"/>
      <c r="F170" s="40"/>
      <c r="J170" s="242"/>
    </row>
    <row r="171" spans="1:10">
      <c r="A171" s="39"/>
      <c r="B171" s="42"/>
      <c r="C171" s="33"/>
      <c r="D171" s="33"/>
      <c r="E171" s="32"/>
      <c r="F171" s="40"/>
      <c r="J171" s="242"/>
    </row>
    <row r="172" spans="1:10">
      <c r="A172" s="39"/>
      <c r="B172" s="39"/>
      <c r="C172" s="43"/>
      <c r="D172" s="44"/>
      <c r="E172" s="32"/>
      <c r="F172" s="40"/>
      <c r="J172" s="242"/>
    </row>
    <row r="173" spans="1:10">
      <c r="A173" s="39"/>
      <c r="B173" s="39"/>
      <c r="C173" s="43"/>
      <c r="D173" s="44"/>
      <c r="E173" s="32"/>
      <c r="F173" s="40"/>
      <c r="J173" s="242"/>
    </row>
    <row r="174" spans="1:10">
      <c r="A174" s="39"/>
      <c r="B174" s="39"/>
      <c r="C174" s="43"/>
      <c r="D174" s="43"/>
      <c r="E174" s="32"/>
      <c r="F174" s="40"/>
      <c r="J174" s="242"/>
    </row>
    <row r="175" spans="1:10">
      <c r="A175" s="39"/>
      <c r="B175" s="39"/>
      <c r="C175" s="43"/>
      <c r="D175" s="43"/>
      <c r="E175" s="32"/>
      <c r="F175" s="40"/>
      <c r="J175" s="242"/>
    </row>
    <row r="176" spans="1:10">
      <c r="A176" s="45"/>
      <c r="B176" s="45"/>
      <c r="C176" s="46"/>
      <c r="D176" s="47"/>
      <c r="E176" s="48"/>
      <c r="F176" s="49"/>
      <c r="J176" s="242"/>
    </row>
    <row r="177" spans="1:10">
      <c r="A177" s="39"/>
      <c r="B177" s="39"/>
      <c r="C177" s="43"/>
      <c r="D177" s="43"/>
      <c r="E177" s="32"/>
      <c r="F177" s="40"/>
      <c r="J177" s="242"/>
    </row>
    <row r="178" spans="1:10">
      <c r="A178" s="39"/>
      <c r="B178" s="39"/>
      <c r="C178" s="43"/>
      <c r="D178" s="43"/>
      <c r="E178" s="32"/>
      <c r="F178" s="40"/>
      <c r="J178" s="242"/>
    </row>
    <row r="179" spans="1:10">
      <c r="A179" s="39"/>
      <c r="B179" s="39"/>
      <c r="C179" s="43"/>
      <c r="D179" s="43"/>
      <c r="E179" s="32"/>
      <c r="F179" s="40"/>
      <c r="J179" s="242"/>
    </row>
    <row r="180" spans="1:10">
      <c r="A180" s="45"/>
      <c r="B180" s="45"/>
      <c r="C180" s="46"/>
      <c r="D180" s="47"/>
      <c r="E180" s="48"/>
      <c r="F180" s="49"/>
      <c r="J180" s="242"/>
    </row>
    <row r="181" spans="1:10">
      <c r="A181" s="39"/>
      <c r="B181" s="39"/>
      <c r="C181" s="43"/>
      <c r="D181" s="43"/>
      <c r="E181" s="32"/>
      <c r="F181" s="40"/>
      <c r="J181" s="242"/>
    </row>
    <row r="182" spans="1:10">
      <c r="A182" s="39"/>
      <c r="B182" s="39"/>
      <c r="C182" s="43"/>
      <c r="D182" s="43"/>
      <c r="E182" s="32"/>
      <c r="F182" s="40"/>
      <c r="J182" s="242"/>
    </row>
    <row r="183" spans="1:10">
      <c r="A183" s="39"/>
      <c r="B183" s="39"/>
      <c r="C183" s="43"/>
      <c r="D183" s="43"/>
      <c r="E183" s="32"/>
      <c r="F183" s="40"/>
      <c r="J183" s="242"/>
    </row>
    <row r="184" spans="1:10">
      <c r="A184" s="45"/>
      <c r="B184" s="45"/>
      <c r="C184" s="46"/>
      <c r="D184" s="46"/>
      <c r="E184" s="45"/>
      <c r="F184" s="50"/>
      <c r="J184" s="242"/>
    </row>
    <row r="185" spans="1:10">
      <c r="A185" s="32"/>
      <c r="B185" s="32"/>
      <c r="C185" s="33"/>
      <c r="D185" s="33"/>
      <c r="E185" s="32"/>
      <c r="F185" s="34"/>
      <c r="J185" s="242"/>
    </row>
    <row r="186" spans="1:10">
      <c r="A186" s="32"/>
      <c r="B186" s="32"/>
      <c r="C186" s="33"/>
      <c r="D186" s="33"/>
      <c r="E186" s="32"/>
      <c r="F186" s="34"/>
      <c r="J186" s="242"/>
    </row>
    <row r="187" spans="1:10">
      <c r="A187" s="32"/>
      <c r="B187" s="32"/>
      <c r="C187" s="33"/>
      <c r="D187" s="33"/>
      <c r="E187" s="32"/>
      <c r="F187" s="34"/>
      <c r="J187" s="242"/>
    </row>
    <row r="188" spans="1:10">
      <c r="A188" s="45"/>
      <c r="B188" s="45"/>
      <c r="C188" s="51"/>
      <c r="D188" s="51"/>
      <c r="E188" s="48"/>
      <c r="F188" s="49"/>
      <c r="J188" s="242"/>
    </row>
    <row r="189" spans="1:10">
      <c r="A189" s="32"/>
      <c r="B189" s="32"/>
      <c r="C189" s="33"/>
      <c r="D189" s="33"/>
      <c r="E189" s="32"/>
      <c r="F189" s="34"/>
      <c r="J189" s="242"/>
    </row>
    <row r="190" spans="1:10">
      <c r="A190" s="32"/>
      <c r="B190" s="32"/>
      <c r="C190" s="33"/>
      <c r="D190" s="33"/>
      <c r="E190" s="32"/>
      <c r="F190" s="34"/>
      <c r="J190" s="242"/>
    </row>
    <row r="191" spans="1:10">
      <c r="A191" s="32"/>
      <c r="B191" s="32"/>
      <c r="C191" s="33"/>
      <c r="D191" s="33"/>
      <c r="E191" s="32"/>
      <c r="F191" s="34"/>
      <c r="J191" s="242"/>
    </row>
    <row r="192" spans="1:10">
      <c r="A192" s="32"/>
      <c r="B192" s="32"/>
      <c r="C192" s="33"/>
      <c r="D192" s="33"/>
      <c r="E192" s="32"/>
      <c r="F192" s="34"/>
      <c r="J192" s="242"/>
    </row>
    <row r="193" spans="1:10">
      <c r="A193" s="32"/>
      <c r="B193" s="32"/>
      <c r="C193" s="33"/>
      <c r="D193" s="33"/>
      <c r="E193" s="32"/>
      <c r="F193" s="34"/>
      <c r="J193" s="242"/>
    </row>
    <row r="194" spans="1:10">
      <c r="A194" s="32"/>
      <c r="B194" s="32"/>
      <c r="C194" s="33"/>
      <c r="D194" s="33"/>
      <c r="E194" s="32"/>
      <c r="F194" s="34"/>
      <c r="J194" s="242"/>
    </row>
    <row r="195" spans="1:10">
      <c r="A195" s="1132"/>
      <c r="B195" s="1132"/>
      <c r="C195" s="1132"/>
      <c r="D195" s="1132"/>
      <c r="E195" s="1132"/>
      <c r="F195" s="1132"/>
      <c r="J195" s="242"/>
    </row>
    <row r="196" spans="1:10">
      <c r="A196" s="32"/>
      <c r="B196" s="32"/>
      <c r="C196" s="33"/>
      <c r="D196" s="33"/>
      <c r="E196" s="32"/>
      <c r="F196" s="34"/>
      <c r="J196" s="242"/>
    </row>
    <row r="197" spans="1:10">
      <c r="A197" s="32"/>
      <c r="B197" s="32"/>
      <c r="C197" s="33"/>
      <c r="D197" s="33"/>
      <c r="E197" s="32"/>
      <c r="F197" s="34"/>
      <c r="J197" s="242"/>
    </row>
    <row r="198" spans="1:10">
      <c r="A198" s="32"/>
      <c r="B198" s="32"/>
      <c r="C198" s="33"/>
      <c r="D198" s="33"/>
      <c r="E198" s="32"/>
      <c r="F198" s="34"/>
      <c r="J198" s="242"/>
    </row>
    <row r="199" spans="1:10">
      <c r="A199" s="32"/>
      <c r="B199" s="32"/>
      <c r="C199" s="33"/>
      <c r="D199" s="33"/>
      <c r="E199" s="32"/>
      <c r="F199" s="34"/>
      <c r="J199" s="242"/>
    </row>
    <row r="200" spans="1:10">
      <c r="A200" s="32"/>
      <c r="B200" s="32"/>
      <c r="C200" s="33"/>
      <c r="D200" s="33"/>
      <c r="E200" s="32"/>
      <c r="F200" s="34"/>
      <c r="J200" s="242"/>
    </row>
    <row r="201" spans="1:10">
      <c r="A201" s="32"/>
      <c r="B201" s="32"/>
      <c r="C201" s="33"/>
      <c r="D201" s="33"/>
      <c r="E201" s="32"/>
      <c r="F201" s="34"/>
      <c r="J201" s="242"/>
    </row>
    <row r="202" spans="1:10">
      <c r="A202" s="32"/>
      <c r="B202" s="32"/>
      <c r="C202" s="33"/>
      <c r="D202" s="33"/>
      <c r="E202" s="32"/>
      <c r="F202" s="34"/>
      <c r="J202" s="242"/>
    </row>
    <row r="203" spans="1:10">
      <c r="A203" s="32"/>
      <c r="B203" s="32"/>
      <c r="C203" s="33"/>
      <c r="D203" s="33"/>
      <c r="E203" s="32"/>
      <c r="F203" s="34"/>
      <c r="J203" s="242"/>
    </row>
    <row r="204" spans="1:10">
      <c r="A204" s="32"/>
      <c r="B204" s="32"/>
      <c r="C204" s="33"/>
      <c r="D204" s="33"/>
      <c r="E204" s="32"/>
      <c r="F204" s="34"/>
      <c r="J204" s="242"/>
    </row>
    <row r="205" spans="1:10">
      <c r="A205" s="32"/>
      <c r="B205" s="32"/>
      <c r="C205" s="33"/>
      <c r="D205" s="33"/>
      <c r="E205" s="32"/>
      <c r="F205" s="34"/>
      <c r="J205" s="242"/>
    </row>
    <row r="206" spans="1:10">
      <c r="A206" s="32"/>
      <c r="B206" s="32"/>
      <c r="C206" s="33"/>
      <c r="D206" s="33"/>
      <c r="E206" s="32"/>
      <c r="F206" s="34"/>
      <c r="J206" s="242"/>
    </row>
    <row r="207" spans="1:10">
      <c r="A207" s="32"/>
      <c r="B207" s="32"/>
      <c r="C207" s="33"/>
      <c r="D207" s="33"/>
      <c r="E207" s="32"/>
      <c r="F207" s="34"/>
      <c r="J207" s="242"/>
    </row>
    <row r="208" spans="1:10">
      <c r="A208" s="32"/>
      <c r="B208" s="32"/>
      <c r="C208" s="33"/>
      <c r="D208" s="33"/>
      <c r="E208" s="32"/>
      <c r="F208" s="34"/>
      <c r="J208" s="242"/>
    </row>
    <row r="209" spans="1:10">
      <c r="A209" s="32"/>
      <c r="B209" s="32"/>
      <c r="C209" s="33"/>
      <c r="D209" s="33"/>
      <c r="E209" s="32"/>
      <c r="F209" s="34"/>
      <c r="J209" s="242"/>
    </row>
    <row r="210" spans="1:10">
      <c r="A210" s="32"/>
      <c r="B210" s="32"/>
      <c r="C210" s="33"/>
      <c r="D210" s="33"/>
      <c r="E210" s="32"/>
      <c r="F210" s="34"/>
      <c r="J210" s="242"/>
    </row>
    <row r="211" spans="1:10">
      <c r="A211" s="32"/>
      <c r="B211" s="32"/>
      <c r="C211" s="33"/>
      <c r="D211" s="33"/>
      <c r="E211" s="32"/>
      <c r="F211" s="34"/>
      <c r="J211" s="242"/>
    </row>
    <row r="212" spans="1:10">
      <c r="A212" s="32"/>
      <c r="B212" s="32"/>
      <c r="C212" s="33"/>
      <c r="D212" s="33"/>
      <c r="E212" s="32"/>
      <c r="F212" s="34"/>
      <c r="J212" s="242"/>
    </row>
    <row r="213" spans="1:10">
      <c r="A213" s="32"/>
      <c r="B213" s="32"/>
      <c r="C213" s="33"/>
      <c r="D213" s="33"/>
      <c r="E213" s="32"/>
      <c r="F213" s="34"/>
      <c r="J213" s="242"/>
    </row>
    <row r="214" spans="1:10">
      <c r="A214" s="32"/>
      <c r="B214" s="32"/>
      <c r="C214" s="33"/>
      <c r="D214" s="33"/>
      <c r="E214" s="32"/>
      <c r="F214" s="34"/>
      <c r="J214" s="242"/>
    </row>
    <row r="215" spans="1:10">
      <c r="A215" s="32"/>
      <c r="B215" s="32"/>
      <c r="C215" s="33"/>
      <c r="D215" s="33"/>
      <c r="E215" s="32"/>
      <c r="F215" s="34"/>
      <c r="J215" s="242"/>
    </row>
    <row r="216" spans="1:10">
      <c r="A216" s="32"/>
      <c r="B216" s="32"/>
      <c r="C216" s="33"/>
      <c r="D216" s="33"/>
      <c r="E216" s="32"/>
      <c r="F216" s="34"/>
      <c r="J216" s="242"/>
    </row>
    <row r="217" spans="1:10">
      <c r="A217" s="32"/>
      <c r="B217" s="32"/>
      <c r="C217" s="33"/>
      <c r="D217" s="33"/>
      <c r="E217" s="32"/>
      <c r="F217" s="34"/>
      <c r="J217" s="242"/>
    </row>
    <row r="218" spans="1:10">
      <c r="A218" s="32"/>
      <c r="B218" s="32"/>
      <c r="C218" s="33"/>
      <c r="D218" s="33"/>
      <c r="E218" s="32"/>
      <c r="F218" s="34"/>
      <c r="J218" s="242"/>
    </row>
    <row r="219" spans="1:10">
      <c r="A219" s="32"/>
      <c r="B219" s="32"/>
      <c r="C219" s="33"/>
      <c r="D219" s="33"/>
      <c r="E219" s="32"/>
      <c r="F219" s="34"/>
      <c r="J219" s="242"/>
    </row>
    <row r="220" spans="1:10">
      <c r="A220" s="32"/>
      <c r="B220" s="32"/>
      <c r="C220" s="33"/>
      <c r="D220" s="33"/>
      <c r="E220" s="32"/>
      <c r="F220" s="34"/>
      <c r="J220" s="242"/>
    </row>
    <row r="221" spans="1:10">
      <c r="A221" s="32"/>
      <c r="B221" s="32"/>
      <c r="C221" s="33"/>
      <c r="D221" s="33"/>
      <c r="E221" s="32"/>
      <c r="F221" s="34"/>
      <c r="J221" s="242"/>
    </row>
    <row r="222" spans="1:10">
      <c r="A222" s="32"/>
      <c r="B222" s="32"/>
      <c r="C222" s="33"/>
      <c r="D222" s="33"/>
      <c r="E222" s="32"/>
      <c r="F222" s="34"/>
      <c r="J222" s="242"/>
    </row>
    <row r="223" spans="1:10">
      <c r="A223" s="32"/>
      <c r="B223" s="32"/>
      <c r="C223" s="33"/>
      <c r="D223" s="33"/>
      <c r="E223" s="32"/>
      <c r="F223" s="34"/>
      <c r="J223" s="242"/>
    </row>
    <row r="224" spans="1:10">
      <c r="A224" s="32"/>
      <c r="B224" s="32"/>
      <c r="C224" s="33"/>
      <c r="D224" s="33"/>
      <c r="E224" s="32"/>
      <c r="F224" s="34"/>
      <c r="J224" s="242"/>
    </row>
    <row r="225" spans="1:10">
      <c r="A225" s="32"/>
      <c r="B225" s="32"/>
      <c r="C225" s="33"/>
      <c r="D225" s="33"/>
      <c r="E225" s="32"/>
      <c r="F225" s="34"/>
      <c r="J225" s="242"/>
    </row>
    <row r="226" spans="1:10">
      <c r="A226" s="32"/>
      <c r="B226" s="32"/>
      <c r="C226" s="33"/>
      <c r="D226" s="33"/>
      <c r="E226" s="32"/>
      <c r="F226" s="34"/>
      <c r="J226" s="242"/>
    </row>
    <row r="227" spans="1:10">
      <c r="A227" s="32"/>
      <c r="B227" s="32"/>
      <c r="C227" s="33"/>
      <c r="D227" s="33"/>
      <c r="E227" s="32"/>
      <c r="F227" s="34"/>
      <c r="J227" s="242"/>
    </row>
    <row r="228" spans="1:10">
      <c r="A228" s="32"/>
      <c r="B228" s="32"/>
      <c r="C228" s="33"/>
      <c r="D228" s="33"/>
      <c r="E228" s="32"/>
      <c r="F228" s="34"/>
      <c r="J228" s="242"/>
    </row>
    <row r="229" spans="1:10">
      <c r="A229" s="32"/>
      <c r="B229" s="32"/>
      <c r="C229" s="33"/>
      <c r="D229" s="33"/>
      <c r="E229" s="32"/>
      <c r="F229" s="34"/>
      <c r="J229" s="242"/>
    </row>
    <row r="230" spans="1:10">
      <c r="A230" s="32"/>
      <c r="B230" s="32"/>
      <c r="C230" s="33"/>
      <c r="D230" s="33"/>
      <c r="E230" s="32"/>
      <c r="F230" s="34"/>
      <c r="J230" s="242"/>
    </row>
    <row r="231" spans="1:10">
      <c r="A231" s="32"/>
      <c r="B231" s="32"/>
      <c r="C231" s="33"/>
      <c r="D231" s="33"/>
      <c r="E231" s="32"/>
      <c r="F231" s="34"/>
      <c r="J231" s="242"/>
    </row>
    <row r="232" spans="1:10">
      <c r="A232" s="32"/>
      <c r="B232" s="32"/>
      <c r="C232" s="33"/>
      <c r="D232" s="33"/>
      <c r="E232" s="32"/>
      <c r="F232" s="34"/>
      <c r="J232" s="242"/>
    </row>
    <row r="233" spans="1:10">
      <c r="A233" s="32"/>
      <c r="B233" s="32"/>
      <c r="C233" s="33"/>
      <c r="D233" s="33"/>
      <c r="E233" s="32"/>
      <c r="F233" s="34"/>
      <c r="J233" s="242"/>
    </row>
    <row r="234" spans="1:10">
      <c r="A234" s="32"/>
      <c r="B234" s="32"/>
      <c r="C234" s="33"/>
      <c r="D234" s="33"/>
      <c r="E234" s="32"/>
      <c r="F234" s="34"/>
      <c r="J234" s="242"/>
    </row>
    <row r="235" spans="1:10">
      <c r="A235" s="32"/>
      <c r="B235" s="32"/>
      <c r="C235" s="33"/>
      <c r="D235" s="33"/>
      <c r="E235" s="32"/>
      <c r="F235" s="34"/>
      <c r="J235" s="242"/>
    </row>
    <row r="236" spans="1:10">
      <c r="A236" s="32"/>
      <c r="B236" s="32"/>
      <c r="C236" s="33"/>
      <c r="D236" s="33"/>
      <c r="E236" s="32"/>
      <c r="F236" s="34"/>
      <c r="J236" s="242"/>
    </row>
    <row r="237" spans="1:10">
      <c r="A237" s="32"/>
      <c r="B237" s="32"/>
      <c r="C237" s="33"/>
      <c r="D237" s="33"/>
      <c r="E237" s="32"/>
      <c r="F237" s="34"/>
      <c r="J237" s="242"/>
    </row>
    <row r="238" spans="1:10">
      <c r="A238" s="32"/>
      <c r="B238" s="32"/>
      <c r="C238" s="33"/>
      <c r="D238" s="33"/>
      <c r="E238" s="32"/>
      <c r="F238" s="34"/>
      <c r="J238" s="242"/>
    </row>
    <row r="239" spans="1:10">
      <c r="A239" s="32"/>
      <c r="B239" s="32"/>
      <c r="C239" s="33"/>
      <c r="D239" s="33"/>
      <c r="E239" s="32"/>
      <c r="F239" s="34"/>
      <c r="J239" s="242"/>
    </row>
    <row r="240" spans="1:10">
      <c r="A240" s="32"/>
      <c r="B240" s="32"/>
      <c r="C240" s="33"/>
      <c r="D240" s="33"/>
      <c r="E240" s="32"/>
      <c r="F240" s="34"/>
      <c r="J240" s="242"/>
    </row>
    <row r="241" spans="1:10">
      <c r="A241" s="32"/>
      <c r="B241" s="32"/>
      <c r="C241" s="33"/>
      <c r="D241" s="33"/>
      <c r="E241" s="32"/>
      <c r="F241" s="34"/>
      <c r="J241" s="242"/>
    </row>
    <row r="242" spans="1:10">
      <c r="A242" s="32"/>
      <c r="B242" s="32"/>
      <c r="C242" s="33"/>
      <c r="D242" s="33"/>
      <c r="E242" s="32"/>
      <c r="F242" s="34"/>
      <c r="J242" s="242"/>
    </row>
    <row r="243" spans="1:10">
      <c r="A243" s="32"/>
      <c r="B243" s="32"/>
      <c r="C243" s="33"/>
      <c r="D243" s="33"/>
      <c r="E243" s="32"/>
      <c r="F243" s="34"/>
      <c r="J243" s="242"/>
    </row>
    <row r="244" spans="1:10">
      <c r="A244" s="32"/>
      <c r="B244" s="32"/>
      <c r="C244" s="33"/>
      <c r="D244" s="33"/>
      <c r="E244" s="32"/>
      <c r="F244" s="34"/>
    </row>
    <row r="245" spans="1:10">
      <c r="A245" s="32"/>
      <c r="B245" s="32"/>
      <c r="C245" s="33"/>
      <c r="D245" s="33"/>
      <c r="E245" s="32"/>
      <c r="F245" s="34"/>
    </row>
    <row r="246" spans="1:10">
      <c r="A246" s="32"/>
      <c r="B246" s="32"/>
      <c r="C246" s="33"/>
      <c r="D246" s="33"/>
      <c r="E246" s="32"/>
      <c r="F246" s="34"/>
    </row>
    <row r="247" spans="1:10">
      <c r="A247" s="32"/>
      <c r="B247" s="32"/>
      <c r="C247" s="33"/>
      <c r="D247" s="33"/>
      <c r="E247" s="32"/>
      <c r="F247" s="34"/>
    </row>
    <row r="248" spans="1:10">
      <c r="A248" s="32"/>
      <c r="B248" s="32"/>
      <c r="C248" s="33"/>
      <c r="D248" s="33"/>
      <c r="E248" s="32"/>
      <c r="F248" s="34"/>
    </row>
    <row r="249" spans="1:10">
      <c r="A249" s="32"/>
      <c r="B249" s="32"/>
      <c r="C249" s="33"/>
      <c r="D249" s="33"/>
      <c r="E249" s="32"/>
      <c r="F249" s="34"/>
    </row>
    <row r="250" spans="1:10">
      <c r="A250" s="32"/>
      <c r="B250" s="32"/>
      <c r="C250" s="33"/>
      <c r="D250" s="33"/>
      <c r="E250" s="32"/>
      <c r="F250" s="34"/>
    </row>
    <row r="251" spans="1:10">
      <c r="A251" s="32"/>
      <c r="B251" s="32"/>
      <c r="C251" s="33"/>
      <c r="D251" s="33"/>
      <c r="E251" s="32"/>
      <c r="F251" s="34"/>
    </row>
    <row r="252" spans="1:10">
      <c r="A252" s="32"/>
      <c r="B252" s="32"/>
      <c r="C252" s="33"/>
      <c r="D252" s="33"/>
      <c r="E252" s="32"/>
      <c r="F252" s="34"/>
    </row>
    <row r="253" spans="1:10">
      <c r="A253" s="32"/>
      <c r="B253" s="32"/>
      <c r="C253" s="33"/>
      <c r="D253" s="33"/>
      <c r="E253" s="32"/>
      <c r="F253" s="34"/>
    </row>
    <row r="254" spans="1:10">
      <c r="A254" s="32"/>
      <c r="B254" s="32"/>
      <c r="C254" s="33"/>
      <c r="D254" s="33"/>
      <c r="E254" s="32"/>
      <c r="F254" s="34"/>
    </row>
    <row r="255" spans="1:10">
      <c r="A255" s="32"/>
      <c r="B255" s="32"/>
      <c r="C255" s="33"/>
      <c r="D255" s="33"/>
      <c r="E255" s="32"/>
      <c r="F255" s="34"/>
    </row>
    <row r="256" spans="1:10">
      <c r="A256" s="32"/>
      <c r="B256" s="32"/>
      <c r="C256" s="33"/>
      <c r="D256" s="33"/>
      <c r="E256" s="32"/>
      <c r="F256" s="34"/>
    </row>
    <row r="257" spans="1:6">
      <c r="A257" s="32"/>
      <c r="B257" s="32"/>
      <c r="C257" s="33"/>
      <c r="D257" s="33"/>
      <c r="E257" s="32"/>
      <c r="F257" s="34"/>
    </row>
    <row r="258" spans="1:6">
      <c r="A258" s="32"/>
      <c r="B258" s="32"/>
      <c r="C258" s="33"/>
      <c r="D258" s="33"/>
      <c r="E258" s="32"/>
      <c r="F258" s="34"/>
    </row>
    <row r="259" spans="1:6">
      <c r="A259" s="32"/>
      <c r="B259" s="32"/>
      <c r="C259" s="33"/>
      <c r="D259" s="33"/>
      <c r="E259" s="32"/>
      <c r="F259" s="34"/>
    </row>
    <row r="260" spans="1:6">
      <c r="A260" s="32"/>
      <c r="B260" s="32"/>
      <c r="C260" s="33"/>
      <c r="D260" s="33"/>
      <c r="E260" s="32"/>
      <c r="F260" s="34"/>
    </row>
    <row r="261" spans="1:6">
      <c r="A261" s="32"/>
      <c r="B261" s="32"/>
      <c r="C261" s="33"/>
      <c r="D261" s="33"/>
      <c r="E261" s="32"/>
      <c r="F261" s="34"/>
    </row>
    <row r="262" spans="1:6">
      <c r="A262" s="32"/>
      <c r="B262" s="32"/>
      <c r="C262" s="33"/>
      <c r="D262" s="33"/>
      <c r="E262" s="32"/>
      <c r="F262" s="34"/>
    </row>
    <row r="263" spans="1:6">
      <c r="C263" s="12"/>
      <c r="D263" s="12"/>
    </row>
    <row r="264" spans="1:6">
      <c r="C264" s="12"/>
      <c r="D264" s="12"/>
    </row>
    <row r="265" spans="1:6">
      <c r="C265" s="12"/>
      <c r="D265" s="12"/>
    </row>
    <row r="266" spans="1:6">
      <c r="C266" s="12"/>
      <c r="D266" s="12"/>
    </row>
    <row r="267" spans="1:6">
      <c r="C267" s="12"/>
      <c r="D267" s="12"/>
    </row>
    <row r="268" spans="1:6">
      <c r="C268" s="12"/>
      <c r="D268" s="12"/>
    </row>
    <row r="269" spans="1:6">
      <c r="C269" s="12"/>
      <c r="D269" s="12"/>
    </row>
    <row r="270" spans="1:6">
      <c r="C270" s="12"/>
      <c r="D270" s="12"/>
    </row>
    <row r="271" spans="1:6">
      <c r="C271" s="12"/>
      <c r="D271" s="12"/>
    </row>
    <row r="272" spans="1:6">
      <c r="C272" s="12"/>
      <c r="D272" s="12"/>
    </row>
    <row r="273" spans="3:4">
      <c r="C273" s="12"/>
      <c r="D273" s="12"/>
    </row>
    <row r="274" spans="3:4">
      <c r="C274" s="12"/>
      <c r="D274" s="12"/>
    </row>
    <row r="275" spans="3:4">
      <c r="C275" s="12"/>
      <c r="D275" s="12"/>
    </row>
    <row r="276" spans="3:4">
      <c r="C276" s="12"/>
      <c r="D276" s="12"/>
    </row>
    <row r="277" spans="3:4">
      <c r="C277" s="12"/>
      <c r="D277" s="12"/>
    </row>
    <row r="278" spans="3:4">
      <c r="C278" s="12"/>
      <c r="D278" s="12"/>
    </row>
    <row r="279" spans="3:4">
      <c r="C279" s="12"/>
      <c r="D279" s="12"/>
    </row>
    <row r="280" spans="3:4">
      <c r="C280" s="12"/>
      <c r="D280" s="12"/>
    </row>
    <row r="281" spans="3:4">
      <c r="C281" s="12"/>
      <c r="D281" s="12"/>
    </row>
    <row r="282" spans="3:4">
      <c r="C282" s="12"/>
      <c r="D282" s="12"/>
    </row>
    <row r="283" spans="3:4">
      <c r="C283" s="12"/>
      <c r="D283" s="12"/>
    </row>
    <row r="284" spans="3:4">
      <c r="C284" s="12"/>
      <c r="D284" s="12"/>
    </row>
    <row r="285" spans="3:4">
      <c r="C285" s="12"/>
      <c r="D285" s="12"/>
    </row>
    <row r="286" spans="3:4">
      <c r="C286" s="12"/>
      <c r="D286" s="12"/>
    </row>
    <row r="287" spans="3:4">
      <c r="C287" s="12"/>
      <c r="D287" s="12"/>
    </row>
    <row r="288" spans="3:4">
      <c r="C288" s="12"/>
      <c r="D288" s="12"/>
    </row>
    <row r="289" spans="3:4">
      <c r="C289" s="12"/>
      <c r="D289" s="12"/>
    </row>
    <row r="290" spans="3:4">
      <c r="C290" s="12"/>
      <c r="D290" s="12"/>
    </row>
    <row r="291" spans="3:4">
      <c r="C291" s="12"/>
      <c r="D291" s="12"/>
    </row>
    <row r="292" spans="3:4">
      <c r="C292" s="12"/>
      <c r="D292" s="12"/>
    </row>
    <row r="293" spans="3:4">
      <c r="C293" s="12"/>
      <c r="D293" s="12"/>
    </row>
    <row r="294" spans="3:4">
      <c r="C294" s="12"/>
      <c r="D294" s="12"/>
    </row>
    <row r="295" spans="3:4">
      <c r="C295" s="12"/>
      <c r="D295" s="12"/>
    </row>
    <row r="296" spans="3:4">
      <c r="C296" s="12"/>
      <c r="D296" s="12"/>
    </row>
    <row r="297" spans="3:4">
      <c r="C297" s="12"/>
      <c r="D297" s="12"/>
    </row>
    <row r="298" spans="3:4">
      <c r="C298" s="12"/>
      <c r="D298" s="12"/>
    </row>
    <row r="299" spans="3:4">
      <c r="C299" s="12"/>
      <c r="D299" s="12"/>
    </row>
    <row r="300" spans="3:4">
      <c r="C300" s="12"/>
      <c r="D300" s="12"/>
    </row>
    <row r="301" spans="3:4">
      <c r="C301" s="12"/>
      <c r="D301" s="12"/>
    </row>
    <row r="302" spans="3:4">
      <c r="C302" s="12"/>
      <c r="D302" s="12"/>
    </row>
    <row r="303" spans="3:4">
      <c r="C303" s="12"/>
      <c r="D303" s="12"/>
    </row>
    <row r="304" spans="3:4">
      <c r="C304" s="12"/>
      <c r="D304" s="12"/>
    </row>
    <row r="305" spans="3:4">
      <c r="C305" s="12"/>
      <c r="D305" s="12"/>
    </row>
    <row r="306" spans="3:4">
      <c r="C306" s="12"/>
      <c r="D306" s="12"/>
    </row>
    <row r="307" spans="3:4">
      <c r="C307" s="12"/>
      <c r="D307" s="12"/>
    </row>
    <row r="308" spans="3:4">
      <c r="C308" s="12"/>
      <c r="D308" s="12"/>
    </row>
    <row r="309" spans="3:4">
      <c r="C309" s="12"/>
      <c r="D309" s="12"/>
    </row>
    <row r="310" spans="3:4">
      <c r="C310" s="12"/>
      <c r="D310" s="12"/>
    </row>
    <row r="311" spans="3:4">
      <c r="C311" s="12"/>
      <c r="D311" s="12"/>
    </row>
    <row r="312" spans="3:4">
      <c r="C312" s="12"/>
      <c r="D312" s="12"/>
    </row>
    <row r="313" spans="3:4">
      <c r="C313" s="12"/>
      <c r="D313" s="12"/>
    </row>
    <row r="314" spans="3:4">
      <c r="C314" s="12"/>
      <c r="D314" s="12"/>
    </row>
    <row r="315" spans="3:4">
      <c r="C315" s="12"/>
      <c r="D315" s="12"/>
    </row>
    <row r="316" spans="3:4">
      <c r="C316" s="12"/>
      <c r="D316" s="12"/>
    </row>
    <row r="317" spans="3:4">
      <c r="C317" s="12"/>
      <c r="D317" s="12"/>
    </row>
    <row r="318" spans="3:4">
      <c r="C318" s="12"/>
      <c r="D318" s="12"/>
    </row>
    <row r="319" spans="3:4">
      <c r="C319" s="12"/>
      <c r="D319" s="12"/>
    </row>
    <row r="320" spans="3:4">
      <c r="C320" s="12"/>
      <c r="D320" s="12"/>
    </row>
    <row r="321" spans="3:4">
      <c r="C321" s="12"/>
      <c r="D321" s="12"/>
    </row>
    <row r="322" spans="3:4">
      <c r="C322" s="12"/>
      <c r="D322" s="12"/>
    </row>
    <row r="323" spans="3:4">
      <c r="C323" s="12"/>
      <c r="D323" s="12"/>
    </row>
    <row r="324" spans="3:4">
      <c r="C324" s="12"/>
      <c r="D324" s="12"/>
    </row>
    <row r="325" spans="3:4">
      <c r="C325" s="12"/>
      <c r="D325" s="12"/>
    </row>
    <row r="326" spans="3:4">
      <c r="C326" s="12"/>
      <c r="D326" s="12"/>
    </row>
    <row r="327" spans="3:4">
      <c r="C327" s="12"/>
      <c r="D327" s="12"/>
    </row>
    <row r="328" spans="3:4">
      <c r="C328" s="12"/>
      <c r="D328" s="12"/>
    </row>
    <row r="329" spans="3:4">
      <c r="C329" s="12"/>
      <c r="D329" s="12"/>
    </row>
    <row r="330" spans="3:4">
      <c r="C330" s="12"/>
      <c r="D330" s="12"/>
    </row>
    <row r="331" spans="3:4">
      <c r="C331" s="12"/>
      <c r="D331" s="12"/>
    </row>
    <row r="332" spans="3:4">
      <c r="C332" s="12"/>
      <c r="D332" s="12"/>
    </row>
    <row r="333" spans="3:4">
      <c r="C333" s="12"/>
      <c r="D333" s="12"/>
    </row>
    <row r="334" spans="3:4">
      <c r="C334" s="12"/>
      <c r="D334" s="12"/>
    </row>
    <row r="335" spans="3:4">
      <c r="C335" s="12"/>
      <c r="D335" s="12"/>
    </row>
    <row r="336" spans="3:4">
      <c r="C336" s="12"/>
      <c r="D336" s="12"/>
    </row>
    <row r="337" spans="3:4">
      <c r="C337" s="12"/>
      <c r="D337" s="12"/>
    </row>
    <row r="338" spans="3:4">
      <c r="C338" s="12"/>
      <c r="D338" s="12"/>
    </row>
    <row r="339" spans="3:4">
      <c r="C339" s="12"/>
      <c r="D339" s="12"/>
    </row>
    <row r="340" spans="3:4">
      <c r="C340" s="12"/>
      <c r="D340" s="12"/>
    </row>
    <row r="341" spans="3:4">
      <c r="C341" s="12"/>
      <c r="D341" s="12"/>
    </row>
    <row r="342" spans="3:4">
      <c r="C342" s="12"/>
      <c r="D342" s="12"/>
    </row>
    <row r="343" spans="3:4">
      <c r="C343" s="12"/>
      <c r="D343" s="12"/>
    </row>
    <row r="344" spans="3:4">
      <c r="C344" s="12"/>
      <c r="D344" s="12"/>
    </row>
    <row r="345" spans="3:4">
      <c r="C345" s="12"/>
      <c r="D345" s="12"/>
    </row>
    <row r="346" spans="3:4">
      <c r="C346" s="12"/>
      <c r="D346" s="12"/>
    </row>
    <row r="347" spans="3:4">
      <c r="C347" s="12"/>
      <c r="D347" s="12"/>
    </row>
    <row r="348" spans="3:4">
      <c r="C348" s="12"/>
      <c r="D348" s="12"/>
    </row>
    <row r="349" spans="3:4">
      <c r="C349" s="12"/>
      <c r="D349" s="12"/>
    </row>
    <row r="350" spans="3:4">
      <c r="C350" s="12"/>
      <c r="D350" s="12"/>
    </row>
    <row r="351" spans="3:4">
      <c r="C351" s="12"/>
      <c r="D351" s="12"/>
    </row>
    <row r="352" spans="3:4">
      <c r="C352" s="12"/>
      <c r="D352" s="12"/>
    </row>
    <row r="353" spans="3:4">
      <c r="C353" s="12"/>
      <c r="D353" s="12"/>
    </row>
    <row r="354" spans="3:4">
      <c r="C354" s="12"/>
      <c r="D354" s="12"/>
    </row>
    <row r="355" spans="3:4">
      <c r="C355" s="12"/>
      <c r="D355" s="12"/>
    </row>
    <row r="356" spans="3:4">
      <c r="C356" s="12"/>
      <c r="D356" s="12"/>
    </row>
    <row r="357" spans="3:4">
      <c r="C357" s="12"/>
      <c r="D357" s="12"/>
    </row>
    <row r="358" spans="3:4">
      <c r="C358" s="12"/>
      <c r="D358" s="12"/>
    </row>
    <row r="359" spans="3:4">
      <c r="C359" s="12"/>
      <c r="D359" s="12"/>
    </row>
    <row r="360" spans="3:4">
      <c r="C360" s="12"/>
      <c r="D360" s="12"/>
    </row>
    <row r="361" spans="3:4">
      <c r="C361" s="12"/>
      <c r="D361" s="12"/>
    </row>
    <row r="362" spans="3:4">
      <c r="C362" s="12"/>
      <c r="D362" s="12"/>
    </row>
    <row r="363" spans="3:4">
      <c r="C363" s="12"/>
      <c r="D363" s="12"/>
    </row>
    <row r="364" spans="3:4">
      <c r="C364" s="12"/>
      <c r="D364" s="12"/>
    </row>
    <row r="365" spans="3:4">
      <c r="C365" s="12"/>
      <c r="D365" s="12"/>
    </row>
    <row r="366" spans="3:4">
      <c r="C366" s="12"/>
      <c r="D366" s="12"/>
    </row>
    <row r="367" spans="3:4">
      <c r="C367" s="12"/>
      <c r="D367" s="12"/>
    </row>
    <row r="368" spans="3:4">
      <c r="C368" s="12"/>
      <c r="D368" s="12"/>
    </row>
    <row r="369" spans="3:4">
      <c r="C369" s="12"/>
      <c r="D369" s="12"/>
    </row>
    <row r="370" spans="3:4">
      <c r="C370" s="12"/>
      <c r="D370" s="12"/>
    </row>
    <row r="371" spans="3:4">
      <c r="C371" s="12"/>
      <c r="D371" s="12"/>
    </row>
    <row r="372" spans="3:4">
      <c r="C372" s="12"/>
      <c r="D372" s="12"/>
    </row>
    <row r="373" spans="3:4">
      <c r="C373" s="12"/>
      <c r="D373" s="12"/>
    </row>
    <row r="374" spans="3:4">
      <c r="C374" s="12"/>
      <c r="D374" s="12"/>
    </row>
    <row r="375" spans="3:4">
      <c r="C375" s="12"/>
      <c r="D375" s="12"/>
    </row>
    <row r="376" spans="3:4">
      <c r="C376" s="12"/>
      <c r="D376" s="12"/>
    </row>
    <row r="377" spans="3:4">
      <c r="C377" s="12"/>
      <c r="D377" s="12"/>
    </row>
    <row r="378" spans="3:4">
      <c r="C378" s="12"/>
      <c r="D378" s="12"/>
    </row>
    <row r="379" spans="3:4">
      <c r="C379" s="12"/>
      <c r="D379" s="12"/>
    </row>
    <row r="380" spans="3:4">
      <c r="C380" s="12"/>
      <c r="D380" s="12"/>
    </row>
    <row r="381" spans="3:4">
      <c r="C381" s="12"/>
      <c r="D381" s="12"/>
    </row>
    <row r="382" spans="3:4">
      <c r="C382" s="12"/>
      <c r="D382" s="12"/>
    </row>
    <row r="383" spans="3:4">
      <c r="C383" s="12"/>
      <c r="D383" s="12"/>
    </row>
    <row r="384" spans="3:4">
      <c r="C384" s="12"/>
      <c r="D384" s="12"/>
    </row>
    <row r="385" spans="3:4">
      <c r="C385" s="12"/>
      <c r="D385" s="12"/>
    </row>
    <row r="386" spans="3:4">
      <c r="C386" s="12"/>
      <c r="D386" s="12"/>
    </row>
    <row r="387" spans="3:4">
      <c r="C387" s="12"/>
      <c r="D387" s="12"/>
    </row>
    <row r="388" spans="3:4">
      <c r="C388" s="12"/>
      <c r="D388" s="12"/>
    </row>
    <row r="389" spans="3:4">
      <c r="C389" s="12"/>
      <c r="D389" s="12"/>
    </row>
    <row r="390" spans="3:4">
      <c r="C390" s="12"/>
      <c r="D390" s="12"/>
    </row>
    <row r="391" spans="3:4">
      <c r="C391" s="12"/>
      <c r="D391" s="12"/>
    </row>
    <row r="392" spans="3:4">
      <c r="C392" s="12"/>
      <c r="D392" s="12"/>
    </row>
    <row r="393" spans="3:4">
      <c r="C393" s="13"/>
      <c r="D393" s="13"/>
    </row>
    <row r="394" spans="3:4">
      <c r="C394" s="13"/>
      <c r="D394" s="13"/>
    </row>
    <row r="395" spans="3:4">
      <c r="C395" s="13"/>
      <c r="D395" s="13"/>
    </row>
    <row r="396" spans="3:4">
      <c r="C396" s="13"/>
      <c r="D396" s="13"/>
    </row>
    <row r="397" spans="3:4">
      <c r="C397" s="13"/>
      <c r="D397" s="13"/>
    </row>
    <row r="398" spans="3:4">
      <c r="C398" s="13"/>
      <c r="D398" s="13"/>
    </row>
    <row r="399" spans="3:4">
      <c r="C399" s="13"/>
      <c r="D399" s="13"/>
    </row>
    <row r="400" spans="3:4">
      <c r="C400" s="13"/>
      <c r="D400" s="13"/>
    </row>
    <row r="401" spans="3:4">
      <c r="C401" s="13"/>
      <c r="D401" s="13"/>
    </row>
    <row r="402" spans="3:4">
      <c r="C402" s="13"/>
      <c r="D402" s="13"/>
    </row>
    <row r="403" spans="3:4">
      <c r="C403" s="13"/>
      <c r="D403" s="13"/>
    </row>
    <row r="404" spans="3:4">
      <c r="C404" s="13"/>
      <c r="D404" s="13"/>
    </row>
    <row r="405" spans="3:4">
      <c r="C405" s="13"/>
      <c r="D405" s="13"/>
    </row>
    <row r="406" spans="3:4">
      <c r="C406" s="13"/>
      <c r="D406" s="13"/>
    </row>
    <row r="407" spans="3:4">
      <c r="C407" s="13"/>
      <c r="D407" s="13"/>
    </row>
    <row r="408" spans="3:4">
      <c r="C408" s="13"/>
      <c r="D408" s="13"/>
    </row>
    <row r="409" spans="3:4">
      <c r="C409" s="13"/>
      <c r="D409" s="13"/>
    </row>
    <row r="410" spans="3:4">
      <c r="C410" s="13"/>
      <c r="D410" s="13"/>
    </row>
    <row r="411" spans="3:4">
      <c r="C411" s="13"/>
      <c r="D411" s="13"/>
    </row>
    <row r="412" spans="3:4">
      <c r="C412" s="13"/>
      <c r="D412" s="13"/>
    </row>
    <row r="413" spans="3:4">
      <c r="C413" s="13"/>
      <c r="D413" s="13"/>
    </row>
    <row r="414" spans="3:4">
      <c r="C414" s="13"/>
      <c r="D414" s="13"/>
    </row>
    <row r="415" spans="3:4">
      <c r="C415" s="13"/>
      <c r="D415" s="13"/>
    </row>
    <row r="416" spans="3:4">
      <c r="C416" s="13"/>
      <c r="D416" s="13"/>
    </row>
    <row r="417" spans="3:4">
      <c r="C417" s="13"/>
      <c r="D417" s="13"/>
    </row>
    <row r="418" spans="3:4">
      <c r="C418" s="13"/>
      <c r="D418" s="13"/>
    </row>
    <row r="419" spans="3:4">
      <c r="C419" s="13"/>
      <c r="D419" s="13"/>
    </row>
    <row r="420" spans="3:4">
      <c r="C420" s="13"/>
      <c r="D420" s="13"/>
    </row>
    <row r="421" spans="3:4">
      <c r="C421" s="13"/>
      <c r="D421" s="13"/>
    </row>
    <row r="422" spans="3:4">
      <c r="C422" s="13"/>
      <c r="D422" s="13"/>
    </row>
    <row r="423" spans="3:4">
      <c r="C423" s="13"/>
      <c r="D423" s="13"/>
    </row>
    <row r="424" spans="3:4">
      <c r="C424" s="13"/>
      <c r="D424" s="13"/>
    </row>
    <row r="425" spans="3:4">
      <c r="C425" s="13"/>
      <c r="D425" s="13"/>
    </row>
    <row r="426" spans="3:4">
      <c r="C426" s="13"/>
      <c r="D426" s="13"/>
    </row>
    <row r="427" spans="3:4">
      <c r="C427" s="13"/>
      <c r="D427" s="13"/>
    </row>
    <row r="428" spans="3:4">
      <c r="C428" s="13"/>
      <c r="D428" s="13"/>
    </row>
    <row r="429" spans="3:4">
      <c r="C429" s="13"/>
      <c r="D429" s="13"/>
    </row>
    <row r="430" spans="3:4">
      <c r="C430" s="13"/>
      <c r="D430" s="13"/>
    </row>
    <row r="431" spans="3:4">
      <c r="C431" s="13"/>
      <c r="D431" s="13"/>
    </row>
    <row r="432" spans="3:4">
      <c r="C432" s="13"/>
      <c r="D432" s="13"/>
    </row>
    <row r="433" spans="3:4">
      <c r="C433" s="13"/>
      <c r="D433" s="13"/>
    </row>
    <row r="434" spans="3:4">
      <c r="C434" s="13"/>
      <c r="D434" s="13"/>
    </row>
    <row r="435" spans="3:4">
      <c r="C435" s="13"/>
      <c r="D435" s="13"/>
    </row>
    <row r="436" spans="3:4">
      <c r="C436" s="13"/>
      <c r="D436" s="13"/>
    </row>
    <row r="437" spans="3:4">
      <c r="C437" s="13"/>
      <c r="D437" s="13"/>
    </row>
    <row r="438" spans="3:4">
      <c r="C438" s="13"/>
      <c r="D438" s="13"/>
    </row>
    <row r="439" spans="3:4">
      <c r="C439" s="13"/>
      <c r="D439" s="13"/>
    </row>
    <row r="440" spans="3:4">
      <c r="C440" s="13"/>
      <c r="D440" s="13"/>
    </row>
    <row r="441" spans="3:4">
      <c r="C441" s="13"/>
      <c r="D441" s="13"/>
    </row>
    <row r="442" spans="3:4">
      <c r="C442" s="13"/>
      <c r="D442" s="13"/>
    </row>
    <row r="443" spans="3:4">
      <c r="C443" s="13"/>
      <c r="D443" s="13"/>
    </row>
    <row r="444" spans="3:4">
      <c r="C444" s="13"/>
      <c r="D444" s="13"/>
    </row>
    <row r="445" spans="3:4">
      <c r="C445" s="13"/>
      <c r="D445" s="13"/>
    </row>
    <row r="446" spans="3:4">
      <c r="C446" s="13"/>
      <c r="D446" s="13"/>
    </row>
    <row r="447" spans="3:4">
      <c r="C447" s="13"/>
      <c r="D447" s="13"/>
    </row>
    <row r="448" spans="3:4">
      <c r="C448" s="13"/>
      <c r="D448" s="13"/>
    </row>
    <row r="449" spans="3:4">
      <c r="C449" s="13"/>
      <c r="D449" s="13"/>
    </row>
    <row r="450" spans="3:4">
      <c r="C450" s="13"/>
      <c r="D450" s="13"/>
    </row>
    <row r="451" spans="3:4">
      <c r="C451" s="13"/>
      <c r="D451" s="13"/>
    </row>
  </sheetData>
  <mergeCells count="2">
    <mergeCell ref="A152:F152"/>
    <mergeCell ref="A195:F195"/>
  </mergeCells>
  <phoneticPr fontId="2" type="noConversion"/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89" orientation="landscape" horizontalDpi="4294967295" r:id="rId1"/>
  <headerFooter alignWithMargins="0">
    <oddHeader>&amp;LGoverno do Estado de MT&amp;CSecretaria de Estado de Transporte e Pav. Urbana</oddHeader>
    <oddFooter>&amp;CEng Darcibel Silva Ramos-Crea-MT04576/D-RN:1201486998</oddFooter>
  </headerFooter>
  <rowBreaks count="2" manualBreakCount="2">
    <brk id="38" max="5" man="1"/>
    <brk id="63" max="5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topLeftCell="A25" workbookViewId="0">
      <selection activeCell="U42" sqref="A1:U42"/>
    </sheetView>
  </sheetViews>
  <sheetFormatPr defaultRowHeight="12.75"/>
  <cols>
    <col min="1" max="11" width="4.140625" customWidth="1"/>
    <col min="12" max="12" width="6.85546875" customWidth="1"/>
    <col min="13" max="20" width="4.140625" customWidth="1"/>
    <col min="21" max="21" width="12.7109375" customWidth="1"/>
  </cols>
  <sheetData>
    <row r="1" spans="1:21" ht="19.5">
      <c r="A1" s="1792" t="s">
        <v>1014</v>
      </c>
      <c r="B1" s="1792"/>
      <c r="C1" s="1792"/>
      <c r="D1" s="1792"/>
      <c r="E1" s="1792"/>
      <c r="F1" s="1792"/>
      <c r="G1" s="1792"/>
      <c r="H1" s="1792"/>
      <c r="I1" s="1792"/>
      <c r="J1" s="1792"/>
      <c r="K1" s="1792"/>
      <c r="L1" s="1792"/>
      <c r="M1" s="1792"/>
      <c r="N1" s="1792"/>
      <c r="O1" s="1792"/>
      <c r="P1" s="1792"/>
      <c r="Q1" s="1792"/>
      <c r="R1" s="1792"/>
      <c r="S1" s="1792"/>
      <c r="T1" s="1792"/>
      <c r="U1" s="1065">
        <v>42675</v>
      </c>
    </row>
    <row r="2" spans="1:21">
      <c r="A2" s="1793" t="s">
        <v>1015</v>
      </c>
      <c r="B2" s="1794"/>
      <c r="C2" s="1794"/>
      <c r="D2" s="1794"/>
      <c r="E2" s="1795"/>
      <c r="F2" s="1793" t="s">
        <v>1016</v>
      </c>
      <c r="G2" s="1794"/>
      <c r="H2" s="1794"/>
      <c r="I2" s="1794"/>
      <c r="J2" s="1794"/>
      <c r="K2" s="1794"/>
      <c r="L2" s="1794"/>
      <c r="M2" s="1794"/>
      <c r="N2" s="1794"/>
      <c r="O2" s="1794"/>
      <c r="P2" s="1794"/>
      <c r="Q2" s="1794"/>
      <c r="R2" s="1794"/>
      <c r="S2" s="1794"/>
      <c r="T2" s="1795"/>
      <c r="U2" s="1066" t="s">
        <v>1017</v>
      </c>
    </row>
    <row r="3" spans="1:21">
      <c r="A3" s="1796" t="s">
        <v>1018</v>
      </c>
      <c r="B3" s="1797"/>
      <c r="C3" s="1797"/>
      <c r="D3" s="1797"/>
      <c r="E3" s="1798"/>
      <c r="F3" s="1799" t="s">
        <v>1019</v>
      </c>
      <c r="G3" s="1800"/>
      <c r="H3" s="1800"/>
      <c r="I3" s="1800"/>
      <c r="J3" s="1800"/>
      <c r="K3" s="1800"/>
      <c r="L3" s="1800"/>
      <c r="M3" s="1800"/>
      <c r="N3" s="1800"/>
      <c r="O3" s="1800"/>
      <c r="P3" s="1800"/>
      <c r="Q3" s="1800"/>
      <c r="R3" s="1800"/>
      <c r="S3" s="1800"/>
      <c r="T3" s="1801"/>
      <c r="U3" s="1067" t="s">
        <v>65</v>
      </c>
    </row>
    <row r="4" spans="1:21">
      <c r="A4" s="1733" t="s">
        <v>1020</v>
      </c>
      <c r="B4" s="1733"/>
      <c r="C4" s="1733"/>
      <c r="D4" s="1733"/>
      <c r="E4" s="1733"/>
      <c r="F4" s="1733"/>
      <c r="G4" s="1733"/>
      <c r="H4" s="1733"/>
      <c r="I4" s="1733"/>
      <c r="J4" s="1733"/>
      <c r="K4" s="1724" t="s">
        <v>4</v>
      </c>
      <c r="L4" s="1724"/>
      <c r="M4" s="1724" t="s">
        <v>1021</v>
      </c>
      <c r="N4" s="1724"/>
      <c r="O4" s="1724"/>
      <c r="P4" s="1724"/>
      <c r="Q4" s="1724" t="s">
        <v>1022</v>
      </c>
      <c r="R4" s="1724"/>
      <c r="S4" s="1724"/>
      <c r="T4" s="1724"/>
      <c r="U4" s="1724" t="s">
        <v>1023</v>
      </c>
    </row>
    <row r="5" spans="1:21">
      <c r="A5" s="1733"/>
      <c r="B5" s="1733"/>
      <c r="C5" s="1733"/>
      <c r="D5" s="1733"/>
      <c r="E5" s="1733"/>
      <c r="F5" s="1733"/>
      <c r="G5" s="1733"/>
      <c r="H5" s="1733"/>
      <c r="I5" s="1733"/>
      <c r="J5" s="1733"/>
      <c r="K5" s="1724"/>
      <c r="L5" s="1724"/>
      <c r="M5" s="1724" t="s">
        <v>1024</v>
      </c>
      <c r="N5" s="1724"/>
      <c r="O5" s="1724" t="s">
        <v>1025</v>
      </c>
      <c r="P5" s="1724"/>
      <c r="Q5" s="1724" t="s">
        <v>1024</v>
      </c>
      <c r="R5" s="1724"/>
      <c r="S5" s="1724" t="s">
        <v>1025</v>
      </c>
      <c r="T5" s="1724"/>
      <c r="U5" s="1724"/>
    </row>
    <row r="6" spans="1:21" ht="15">
      <c r="A6" s="1788" t="s">
        <v>1026</v>
      </c>
      <c r="B6" s="1789"/>
      <c r="C6" s="1789"/>
      <c r="D6" s="1789"/>
      <c r="E6" s="1789"/>
      <c r="F6" s="1789"/>
      <c r="G6" s="1789"/>
      <c r="H6" s="1789"/>
      <c r="I6" s="1789"/>
      <c r="J6" s="1790"/>
      <c r="K6" s="1791">
        <v>1</v>
      </c>
      <c r="L6" s="1791"/>
      <c r="M6" s="1791">
        <v>0.78</v>
      </c>
      <c r="N6" s="1791"/>
      <c r="O6" s="1791">
        <v>0.22</v>
      </c>
      <c r="P6" s="1791"/>
      <c r="Q6" s="1787">
        <v>175.21</v>
      </c>
      <c r="R6" s="1787"/>
      <c r="S6" s="1787">
        <v>18.43</v>
      </c>
      <c r="T6" s="1787"/>
      <c r="U6" s="1068">
        <f>K6*TRUNC((M6*Q6+O6*S6),2)</f>
        <v>140.71</v>
      </c>
    </row>
    <row r="7" spans="1:21" ht="15">
      <c r="A7" s="1780" t="s">
        <v>1027</v>
      </c>
      <c r="B7" s="1781"/>
      <c r="C7" s="1781"/>
      <c r="D7" s="1781"/>
      <c r="E7" s="1781"/>
      <c r="F7" s="1781"/>
      <c r="G7" s="1781"/>
      <c r="H7" s="1781"/>
      <c r="I7" s="1781"/>
      <c r="J7" s="1782"/>
      <c r="K7" s="1783">
        <v>1</v>
      </c>
      <c r="L7" s="1784"/>
      <c r="M7" s="1783">
        <v>0.52</v>
      </c>
      <c r="N7" s="1784"/>
      <c r="O7" s="1783">
        <v>0.48</v>
      </c>
      <c r="P7" s="1784"/>
      <c r="Q7" s="1785">
        <v>77.7</v>
      </c>
      <c r="R7" s="1786"/>
      <c r="S7" s="1785">
        <v>13.79</v>
      </c>
      <c r="T7" s="1786"/>
      <c r="U7" s="1068">
        <f t="shared" ref="U7:U12" si="0">K7*TRUNC((M7*Q7+O7*S7),2)</f>
        <v>47.02</v>
      </c>
    </row>
    <row r="8" spans="1:21" ht="15">
      <c r="A8" s="1780" t="s">
        <v>1028</v>
      </c>
      <c r="B8" s="1781"/>
      <c r="C8" s="1781"/>
      <c r="D8" s="1781"/>
      <c r="E8" s="1781"/>
      <c r="F8" s="1781"/>
      <c r="G8" s="1781"/>
      <c r="H8" s="1781"/>
      <c r="I8" s="1781"/>
      <c r="J8" s="1782"/>
      <c r="K8" s="1783">
        <v>1</v>
      </c>
      <c r="L8" s="1784"/>
      <c r="M8" s="1783">
        <v>1</v>
      </c>
      <c r="N8" s="1784"/>
      <c r="O8" s="1783">
        <v>0</v>
      </c>
      <c r="P8" s="1784"/>
      <c r="Q8" s="1785">
        <v>120.48</v>
      </c>
      <c r="R8" s="1786"/>
      <c r="S8" s="1785">
        <v>13.79</v>
      </c>
      <c r="T8" s="1786"/>
      <c r="U8" s="1068">
        <f t="shared" si="0"/>
        <v>120.48</v>
      </c>
    </row>
    <row r="9" spans="1:21" ht="15">
      <c r="A9" s="1780" t="s">
        <v>1029</v>
      </c>
      <c r="B9" s="1781"/>
      <c r="C9" s="1781"/>
      <c r="D9" s="1781"/>
      <c r="E9" s="1781"/>
      <c r="F9" s="1781"/>
      <c r="G9" s="1781"/>
      <c r="H9" s="1781"/>
      <c r="I9" s="1781"/>
      <c r="J9" s="1782"/>
      <c r="K9" s="1783">
        <v>1</v>
      </c>
      <c r="L9" s="1784"/>
      <c r="M9" s="1783">
        <v>0.52</v>
      </c>
      <c r="N9" s="1784"/>
      <c r="O9" s="1783">
        <v>0.48</v>
      </c>
      <c r="P9" s="1784"/>
      <c r="Q9" s="1785">
        <v>3.59</v>
      </c>
      <c r="R9" s="1786"/>
      <c r="S9" s="1785">
        <v>0</v>
      </c>
      <c r="T9" s="1786"/>
      <c r="U9" s="1068">
        <f t="shared" si="0"/>
        <v>1.86</v>
      </c>
    </row>
    <row r="10" spans="1:21" ht="15">
      <c r="A10" s="1777" t="s">
        <v>1030</v>
      </c>
      <c r="B10" s="1778"/>
      <c r="C10" s="1778"/>
      <c r="D10" s="1778"/>
      <c r="E10" s="1778"/>
      <c r="F10" s="1778"/>
      <c r="G10" s="1778"/>
      <c r="H10" s="1778"/>
      <c r="I10" s="1778"/>
      <c r="J10" s="1779"/>
      <c r="K10" s="1775">
        <v>1</v>
      </c>
      <c r="L10" s="1775"/>
      <c r="M10" s="1775">
        <v>0.78</v>
      </c>
      <c r="N10" s="1775"/>
      <c r="O10" s="1775">
        <v>0.22</v>
      </c>
      <c r="P10" s="1775"/>
      <c r="Q10" s="1776">
        <v>145.84</v>
      </c>
      <c r="R10" s="1776"/>
      <c r="S10" s="1776">
        <v>13.79</v>
      </c>
      <c r="T10" s="1776"/>
      <c r="U10" s="1068">
        <f t="shared" si="0"/>
        <v>116.78</v>
      </c>
    </row>
    <row r="11" spans="1:21" ht="15">
      <c r="A11" s="1755" t="s">
        <v>1031</v>
      </c>
      <c r="B11" s="1755"/>
      <c r="C11" s="1755"/>
      <c r="D11" s="1755"/>
      <c r="E11" s="1755"/>
      <c r="F11" s="1755"/>
      <c r="G11" s="1755"/>
      <c r="H11" s="1755"/>
      <c r="I11" s="1755"/>
      <c r="J11" s="1755"/>
      <c r="K11" s="1775">
        <v>1.49</v>
      </c>
      <c r="L11" s="1775"/>
      <c r="M11" s="1775">
        <v>1</v>
      </c>
      <c r="N11" s="1775"/>
      <c r="O11" s="1775">
        <v>0</v>
      </c>
      <c r="P11" s="1775"/>
      <c r="Q11" s="1776">
        <v>157.83000000000001</v>
      </c>
      <c r="R11" s="1776"/>
      <c r="S11" s="1776">
        <v>13.79</v>
      </c>
      <c r="T11" s="1776"/>
      <c r="U11" s="1068">
        <f t="shared" si="0"/>
        <v>235.16670000000002</v>
      </c>
    </row>
    <row r="12" spans="1:21" ht="15">
      <c r="A12" s="1755" t="s">
        <v>1032</v>
      </c>
      <c r="B12" s="1755"/>
      <c r="C12" s="1755"/>
      <c r="D12" s="1755"/>
      <c r="E12" s="1755"/>
      <c r="F12" s="1755"/>
      <c r="G12" s="1755"/>
      <c r="H12" s="1755"/>
      <c r="I12" s="1755"/>
      <c r="J12" s="1755"/>
      <c r="K12" s="1775">
        <v>2</v>
      </c>
      <c r="L12" s="1775"/>
      <c r="M12" s="1775">
        <v>0.54</v>
      </c>
      <c r="N12" s="1775"/>
      <c r="O12" s="1775">
        <v>0.46</v>
      </c>
      <c r="P12" s="1775"/>
      <c r="Q12" s="1776">
        <v>160.63999999999999</v>
      </c>
      <c r="R12" s="1776"/>
      <c r="S12" s="1776">
        <v>13.79</v>
      </c>
      <c r="T12" s="1776"/>
      <c r="U12" s="1068">
        <f t="shared" si="0"/>
        <v>186.16</v>
      </c>
    </row>
    <row r="13" spans="1:21" ht="15">
      <c r="A13" s="1774"/>
      <c r="B13" s="1774"/>
      <c r="C13" s="1774"/>
      <c r="D13" s="1774"/>
      <c r="E13" s="1774"/>
      <c r="F13" s="1774"/>
      <c r="G13" s="1774"/>
      <c r="H13" s="1774"/>
      <c r="I13" s="1774"/>
      <c r="J13" s="1774"/>
      <c r="K13" s="1775"/>
      <c r="L13" s="1775"/>
      <c r="M13" s="1775"/>
      <c r="N13" s="1775"/>
      <c r="O13" s="1775"/>
      <c r="P13" s="1775"/>
      <c r="Q13" s="1776"/>
      <c r="R13" s="1776"/>
      <c r="S13" s="1776"/>
      <c r="T13" s="1776"/>
      <c r="U13" s="1069"/>
    </row>
    <row r="14" spans="1:21">
      <c r="A14" s="1770" t="s">
        <v>1033</v>
      </c>
      <c r="B14" s="1770"/>
      <c r="C14" s="1770"/>
      <c r="D14" s="1770"/>
      <c r="E14" s="1770"/>
      <c r="F14" s="1770"/>
      <c r="G14" s="1770"/>
      <c r="H14" s="1770"/>
      <c r="I14" s="1770"/>
      <c r="J14" s="1770"/>
      <c r="K14" s="1771">
        <v>0.15509999999999999</v>
      </c>
      <c r="L14" s="1771"/>
      <c r="M14" s="1772"/>
      <c r="N14" s="1772"/>
      <c r="O14" s="1772"/>
      <c r="P14" s="1772"/>
      <c r="Q14" s="1773"/>
      <c r="R14" s="1773"/>
      <c r="S14" s="1773"/>
      <c r="T14" s="1773"/>
      <c r="U14" s="1069">
        <f>TRUNC(K14*U21,2)</f>
        <v>9.68</v>
      </c>
    </row>
    <row r="15" spans="1:21" ht="15">
      <c r="A15" s="1703"/>
      <c r="B15" s="1703"/>
      <c r="C15" s="1703"/>
      <c r="D15" s="1703"/>
      <c r="E15" s="1703"/>
      <c r="F15" s="1703"/>
      <c r="G15" s="1703"/>
      <c r="H15" s="1703"/>
      <c r="I15" s="1703"/>
      <c r="J15" s="1703"/>
      <c r="K15" s="1703"/>
      <c r="L15" s="1703"/>
      <c r="M15" s="1703"/>
      <c r="N15" s="1703"/>
      <c r="O15" s="1703"/>
      <c r="P15" s="1703"/>
      <c r="Q15" s="1703"/>
      <c r="R15" s="1704" t="s">
        <v>1034</v>
      </c>
      <c r="S15" s="1704"/>
      <c r="T15" s="1704"/>
      <c r="U15" s="1070">
        <f>SUM(U6:U14)</f>
        <v>857.85669999999993</v>
      </c>
    </row>
    <row r="16" spans="1:21" ht="24">
      <c r="A16" s="1733" t="s">
        <v>1035</v>
      </c>
      <c r="B16" s="1733"/>
      <c r="C16" s="1733"/>
      <c r="D16" s="1733"/>
      <c r="E16" s="1733"/>
      <c r="F16" s="1733"/>
      <c r="G16" s="1733"/>
      <c r="H16" s="1733"/>
      <c r="I16" s="1733"/>
      <c r="J16" s="1733"/>
      <c r="K16" s="1733"/>
      <c r="L16" s="1733"/>
      <c r="M16" s="1733"/>
      <c r="N16" s="1733"/>
      <c r="O16" s="1724" t="s">
        <v>652</v>
      </c>
      <c r="P16" s="1724"/>
      <c r="Q16" s="1724"/>
      <c r="R16" s="1724" t="s">
        <v>1036</v>
      </c>
      <c r="S16" s="1724"/>
      <c r="T16" s="1724"/>
      <c r="U16" s="1071" t="s">
        <v>1023</v>
      </c>
    </row>
    <row r="17" spans="1:21">
      <c r="A17" s="1769" t="s">
        <v>1037</v>
      </c>
      <c r="B17" s="1769"/>
      <c r="C17" s="1769"/>
      <c r="D17" s="1769"/>
      <c r="E17" s="1769"/>
      <c r="F17" s="1769"/>
      <c r="G17" s="1769"/>
      <c r="H17" s="1769"/>
      <c r="I17" s="1769"/>
      <c r="J17" s="1769"/>
      <c r="K17" s="1769"/>
      <c r="L17" s="1769"/>
      <c r="M17" s="1769"/>
      <c r="N17" s="1769"/>
      <c r="O17" s="1757">
        <v>1</v>
      </c>
      <c r="P17" s="1757"/>
      <c r="Q17" s="1757"/>
      <c r="R17" s="1758">
        <v>35.450000000000003</v>
      </c>
      <c r="S17" s="1758"/>
      <c r="T17" s="1758"/>
      <c r="U17" s="1072">
        <f>ROUND(R17*O17,2)</f>
        <v>35.450000000000003</v>
      </c>
    </row>
    <row r="18" spans="1:21">
      <c r="A18" s="1766" t="s">
        <v>1038</v>
      </c>
      <c r="B18" s="1766"/>
      <c r="C18" s="1766"/>
      <c r="D18" s="1766"/>
      <c r="E18" s="1766"/>
      <c r="F18" s="1766"/>
      <c r="G18" s="1766"/>
      <c r="H18" s="1766"/>
      <c r="I18" s="1766"/>
      <c r="J18" s="1766"/>
      <c r="K18" s="1766"/>
      <c r="L18" s="1766"/>
      <c r="M18" s="1766"/>
      <c r="N18" s="1766"/>
      <c r="O18" s="1767">
        <v>3</v>
      </c>
      <c r="P18" s="1767"/>
      <c r="Q18" s="1767"/>
      <c r="R18" s="1768">
        <v>8.99</v>
      </c>
      <c r="S18" s="1768"/>
      <c r="T18" s="1768"/>
      <c r="U18" s="1072">
        <f t="shared" ref="U18" si="1">ROUND(R18*O18,2)</f>
        <v>26.97</v>
      </c>
    </row>
    <row r="19" spans="1:21">
      <c r="A19" s="1766"/>
      <c r="B19" s="1766"/>
      <c r="C19" s="1766"/>
      <c r="D19" s="1766"/>
      <c r="E19" s="1766"/>
      <c r="F19" s="1766"/>
      <c r="G19" s="1766"/>
      <c r="H19" s="1766"/>
      <c r="I19" s="1766"/>
      <c r="J19" s="1766"/>
      <c r="K19" s="1766"/>
      <c r="L19" s="1766"/>
      <c r="M19" s="1766"/>
      <c r="N19" s="1766"/>
      <c r="O19" s="1767"/>
      <c r="P19" s="1767"/>
      <c r="Q19" s="1767"/>
      <c r="R19" s="1768"/>
      <c r="S19" s="1768"/>
      <c r="T19" s="1768"/>
      <c r="U19" s="1072"/>
    </row>
    <row r="20" spans="1:21">
      <c r="A20" s="1760"/>
      <c r="B20" s="1760"/>
      <c r="C20" s="1760"/>
      <c r="D20" s="1760"/>
      <c r="E20" s="1760"/>
      <c r="F20" s="1760"/>
      <c r="G20" s="1760"/>
      <c r="H20" s="1760"/>
      <c r="I20" s="1760"/>
      <c r="J20" s="1760"/>
      <c r="K20" s="1760"/>
      <c r="L20" s="1760"/>
      <c r="M20" s="1760"/>
      <c r="N20" s="1760"/>
      <c r="O20" s="1747"/>
      <c r="P20" s="1747"/>
      <c r="Q20" s="1747"/>
      <c r="R20" s="1748"/>
      <c r="S20" s="1748"/>
      <c r="T20" s="1748"/>
      <c r="U20" s="1073"/>
    </row>
    <row r="21" spans="1:21" ht="15">
      <c r="A21" s="1703"/>
      <c r="B21" s="1703"/>
      <c r="C21" s="1703"/>
      <c r="D21" s="1703"/>
      <c r="E21" s="1703"/>
      <c r="F21" s="1703"/>
      <c r="G21" s="1703"/>
      <c r="H21" s="1703"/>
      <c r="I21" s="1703"/>
      <c r="J21" s="1703"/>
      <c r="K21" s="1703"/>
      <c r="L21" s="1703"/>
      <c r="M21" s="1703"/>
      <c r="N21" s="1703"/>
      <c r="O21" s="1703"/>
      <c r="P21" s="1703"/>
      <c r="Q21" s="1703"/>
      <c r="R21" s="1704" t="s">
        <v>1039</v>
      </c>
      <c r="S21" s="1704"/>
      <c r="T21" s="1704"/>
      <c r="U21" s="1074">
        <f>SUM(U17:U20)</f>
        <v>62.42</v>
      </c>
    </row>
    <row r="22" spans="1:21">
      <c r="A22" s="1761" t="s">
        <v>1040</v>
      </c>
      <c r="B22" s="1761"/>
      <c r="C22" s="1761"/>
      <c r="D22" s="1761"/>
      <c r="E22" s="1761"/>
      <c r="F22" s="1761"/>
      <c r="G22" s="1761"/>
      <c r="H22" s="1761"/>
      <c r="I22" s="1762"/>
      <c r="J22" s="1763">
        <v>168</v>
      </c>
      <c r="K22" s="1764"/>
      <c r="L22" s="1764"/>
      <c r="M22" s="1765" t="s">
        <v>1041</v>
      </c>
      <c r="N22" s="1765"/>
      <c r="O22" s="1765"/>
      <c r="P22" s="1765"/>
      <c r="Q22" s="1765"/>
      <c r="R22" s="1765"/>
      <c r="S22" s="1765"/>
      <c r="T22" s="1765"/>
      <c r="U22" s="1074">
        <f>SUM(U15,U21)</f>
        <v>920.27669999999989</v>
      </c>
    </row>
    <row r="23" spans="1:21">
      <c r="A23" s="1759"/>
      <c r="B23" s="1759"/>
      <c r="C23" s="1759"/>
      <c r="D23" s="1725" t="s">
        <v>1042</v>
      </c>
      <c r="E23" s="1725"/>
      <c r="F23" s="1725"/>
      <c r="G23" s="1725"/>
      <c r="H23" s="1725"/>
      <c r="I23" s="1725"/>
      <c r="J23" s="1725"/>
      <c r="K23" s="1725"/>
      <c r="L23" s="1725"/>
      <c r="M23" s="1725"/>
      <c r="N23" s="1725"/>
      <c r="O23" s="1725"/>
      <c r="P23" s="1725"/>
      <c r="Q23" s="1725"/>
      <c r="R23" s="1725"/>
      <c r="S23" s="1725"/>
      <c r="T23" s="1725"/>
      <c r="U23" s="1074">
        <f>U22/J22</f>
        <v>5.4778374999999997</v>
      </c>
    </row>
    <row r="24" spans="1:21" ht="24">
      <c r="A24" s="1733" t="s">
        <v>1043</v>
      </c>
      <c r="B24" s="1733"/>
      <c r="C24" s="1733"/>
      <c r="D24" s="1733"/>
      <c r="E24" s="1733"/>
      <c r="F24" s="1733"/>
      <c r="G24" s="1733"/>
      <c r="H24" s="1733"/>
      <c r="I24" s="1733"/>
      <c r="J24" s="1733"/>
      <c r="K24" s="1733"/>
      <c r="L24" s="1733"/>
      <c r="M24" s="1724" t="s">
        <v>1044</v>
      </c>
      <c r="N24" s="1724"/>
      <c r="O24" s="1724" t="s">
        <v>1045</v>
      </c>
      <c r="P24" s="1724"/>
      <c r="Q24" s="1724"/>
      <c r="R24" s="1724" t="s">
        <v>1046</v>
      </c>
      <c r="S24" s="1724"/>
      <c r="T24" s="1724"/>
      <c r="U24" s="1071" t="s">
        <v>1047</v>
      </c>
    </row>
    <row r="25" spans="1:21">
      <c r="A25" s="1755"/>
      <c r="B25" s="1755"/>
      <c r="C25" s="1755"/>
      <c r="D25" s="1755"/>
      <c r="E25" s="1755"/>
      <c r="F25" s="1755"/>
      <c r="G25" s="1755"/>
      <c r="H25" s="1755"/>
      <c r="I25" s="1755"/>
      <c r="J25" s="1755"/>
      <c r="K25" s="1755"/>
      <c r="L25" s="1755"/>
      <c r="M25" s="1756"/>
      <c r="N25" s="1756"/>
      <c r="O25" s="1757"/>
      <c r="P25" s="1757"/>
      <c r="Q25" s="1757"/>
      <c r="R25" s="1758"/>
      <c r="S25" s="1758"/>
      <c r="T25" s="1758"/>
      <c r="U25" s="1072"/>
    </row>
    <row r="26" spans="1:21">
      <c r="A26" s="1734" t="s">
        <v>1048</v>
      </c>
      <c r="B26" s="1735"/>
      <c r="C26" s="1735"/>
      <c r="D26" s="1735"/>
      <c r="E26" s="1735"/>
      <c r="F26" s="1735"/>
      <c r="G26" s="1735"/>
      <c r="H26" s="1735"/>
      <c r="I26" s="1735"/>
      <c r="J26" s="1735"/>
      <c r="K26" s="1735"/>
      <c r="L26" s="1736"/>
      <c r="M26" s="1737" t="s">
        <v>65</v>
      </c>
      <c r="N26" s="1738"/>
      <c r="O26" s="1739">
        <v>1.1499999999999999</v>
      </c>
      <c r="P26" s="1740"/>
      <c r="Q26" s="1741"/>
      <c r="R26" s="1742">
        <v>8.6999999999999993</v>
      </c>
      <c r="S26" s="1743"/>
      <c r="T26" s="1744"/>
      <c r="U26" s="1072">
        <f>O26*R26</f>
        <v>10.004999999999999</v>
      </c>
    </row>
    <row r="27" spans="1:21">
      <c r="A27" s="1734"/>
      <c r="B27" s="1735"/>
      <c r="C27" s="1735"/>
      <c r="D27" s="1735"/>
      <c r="E27" s="1735"/>
      <c r="F27" s="1735"/>
      <c r="G27" s="1735"/>
      <c r="H27" s="1735"/>
      <c r="I27" s="1735"/>
      <c r="J27" s="1735"/>
      <c r="K27" s="1735"/>
      <c r="L27" s="1736"/>
      <c r="M27" s="1737"/>
      <c r="N27" s="1738"/>
      <c r="O27" s="1739"/>
      <c r="P27" s="1740"/>
      <c r="Q27" s="1741"/>
      <c r="R27" s="1742"/>
      <c r="S27" s="1743"/>
      <c r="T27" s="1744"/>
      <c r="U27" s="1072"/>
    </row>
    <row r="28" spans="1:21">
      <c r="A28" s="1749"/>
      <c r="B28" s="1750"/>
      <c r="C28" s="1750"/>
      <c r="D28" s="1750"/>
      <c r="E28" s="1750"/>
      <c r="F28" s="1750"/>
      <c r="G28" s="1750"/>
      <c r="H28" s="1750"/>
      <c r="I28" s="1750"/>
      <c r="J28" s="1750"/>
      <c r="K28" s="1750"/>
      <c r="L28" s="1751"/>
      <c r="M28" s="1737"/>
      <c r="N28" s="1738"/>
      <c r="O28" s="1739"/>
      <c r="P28" s="1740"/>
      <c r="Q28" s="1741"/>
      <c r="R28" s="1752"/>
      <c r="S28" s="1753"/>
      <c r="T28" s="1754"/>
      <c r="U28" s="1072"/>
    </row>
    <row r="29" spans="1:21">
      <c r="A29" s="1734"/>
      <c r="B29" s="1735"/>
      <c r="C29" s="1735"/>
      <c r="D29" s="1735"/>
      <c r="E29" s="1735"/>
      <c r="F29" s="1735"/>
      <c r="G29" s="1735"/>
      <c r="H29" s="1735"/>
      <c r="I29" s="1735"/>
      <c r="J29" s="1735"/>
      <c r="K29" s="1735"/>
      <c r="L29" s="1736"/>
      <c r="M29" s="1737"/>
      <c r="N29" s="1738"/>
      <c r="O29" s="1739"/>
      <c r="P29" s="1740"/>
      <c r="Q29" s="1741"/>
      <c r="R29" s="1742"/>
      <c r="S29" s="1743"/>
      <c r="T29" s="1744"/>
      <c r="U29" s="1072"/>
    </row>
    <row r="30" spans="1:21">
      <c r="A30" s="1745"/>
      <c r="B30" s="1745"/>
      <c r="C30" s="1745"/>
      <c r="D30" s="1745"/>
      <c r="E30" s="1745"/>
      <c r="F30" s="1745"/>
      <c r="G30" s="1745"/>
      <c r="H30" s="1745"/>
      <c r="I30" s="1745"/>
      <c r="J30" s="1745"/>
      <c r="K30" s="1745"/>
      <c r="L30" s="1745"/>
      <c r="M30" s="1746"/>
      <c r="N30" s="1746"/>
      <c r="O30" s="1747"/>
      <c r="P30" s="1747"/>
      <c r="Q30" s="1747"/>
      <c r="R30" s="1748"/>
      <c r="S30" s="1748"/>
      <c r="T30" s="1748"/>
      <c r="U30" s="1075"/>
    </row>
    <row r="31" spans="1:21" ht="15">
      <c r="A31" s="1703"/>
      <c r="B31" s="1703"/>
      <c r="C31" s="1703"/>
      <c r="D31" s="1703"/>
      <c r="E31" s="1703"/>
      <c r="F31" s="1703"/>
      <c r="G31" s="1703"/>
      <c r="H31" s="1703"/>
      <c r="I31" s="1703"/>
      <c r="J31" s="1703"/>
      <c r="K31" s="1703"/>
      <c r="L31" s="1703"/>
      <c r="M31" s="1703"/>
      <c r="N31" s="1703"/>
      <c r="O31" s="1703"/>
      <c r="P31" s="1703"/>
      <c r="Q31" s="1703"/>
      <c r="R31" s="1704" t="s">
        <v>1049</v>
      </c>
      <c r="S31" s="1704"/>
      <c r="T31" s="1704"/>
      <c r="U31" s="1074">
        <f>SUM(U25:U30)</f>
        <v>10.004999999999999</v>
      </c>
    </row>
    <row r="32" spans="1:21">
      <c r="A32" s="1733" t="s">
        <v>1050</v>
      </c>
      <c r="B32" s="1733"/>
      <c r="C32" s="1733"/>
      <c r="D32" s="1733"/>
      <c r="E32" s="1733"/>
      <c r="F32" s="1733"/>
      <c r="G32" s="1733"/>
      <c r="H32" s="1733"/>
      <c r="I32" s="1725" t="s">
        <v>1051</v>
      </c>
      <c r="J32" s="1725"/>
      <c r="K32" s="1725"/>
      <c r="L32" s="1725"/>
      <c r="M32" s="1725"/>
      <c r="N32" s="1725"/>
      <c r="O32" s="1724" t="s">
        <v>1052</v>
      </c>
      <c r="P32" s="1724"/>
      <c r="Q32" s="1724"/>
      <c r="R32" s="1724" t="s">
        <v>1046</v>
      </c>
      <c r="S32" s="1724"/>
      <c r="T32" s="1724"/>
      <c r="U32" s="1724" t="s">
        <v>1047</v>
      </c>
    </row>
    <row r="33" spans="1:21">
      <c r="A33" s="1733"/>
      <c r="B33" s="1733"/>
      <c r="C33" s="1733"/>
      <c r="D33" s="1733"/>
      <c r="E33" s="1733"/>
      <c r="F33" s="1733"/>
      <c r="G33" s="1733"/>
      <c r="H33" s="1733"/>
      <c r="I33" s="1725" t="s">
        <v>1053</v>
      </c>
      <c r="J33" s="1725"/>
      <c r="K33" s="1725" t="s">
        <v>1054</v>
      </c>
      <c r="L33" s="1725"/>
      <c r="M33" s="1725" t="s">
        <v>20</v>
      </c>
      <c r="N33" s="1725"/>
      <c r="O33" s="1724"/>
      <c r="P33" s="1724"/>
      <c r="Q33" s="1724"/>
      <c r="R33" s="1724"/>
      <c r="S33" s="1724"/>
      <c r="T33" s="1724"/>
      <c r="U33" s="1724"/>
    </row>
    <row r="34" spans="1:21">
      <c r="A34" s="1726"/>
      <c r="B34" s="1726"/>
      <c r="C34" s="1726"/>
      <c r="D34" s="1726"/>
      <c r="E34" s="1726"/>
      <c r="F34" s="1726"/>
      <c r="G34" s="1726"/>
      <c r="H34" s="1726"/>
      <c r="I34" s="1727"/>
      <c r="J34" s="1728"/>
      <c r="K34" s="1729"/>
      <c r="L34" s="1729"/>
      <c r="M34" s="1730"/>
      <c r="N34" s="1730"/>
      <c r="O34" s="1731"/>
      <c r="P34" s="1731"/>
      <c r="Q34" s="1731"/>
      <c r="R34" s="1732"/>
      <c r="S34" s="1732"/>
      <c r="T34" s="1732"/>
      <c r="U34" s="1076"/>
    </row>
    <row r="35" spans="1:21">
      <c r="A35" s="1717"/>
      <c r="B35" s="1718"/>
      <c r="C35" s="1718"/>
      <c r="D35" s="1718"/>
      <c r="E35" s="1718"/>
      <c r="F35" s="1718"/>
      <c r="G35" s="1718"/>
      <c r="H35" s="1719"/>
      <c r="I35" s="1720"/>
      <c r="J35" s="1720"/>
      <c r="K35" s="1721"/>
      <c r="L35" s="1721"/>
      <c r="M35" s="1721"/>
      <c r="N35" s="1721"/>
      <c r="O35" s="1722"/>
      <c r="P35" s="1722"/>
      <c r="Q35" s="1722"/>
      <c r="R35" s="1723"/>
      <c r="S35" s="1723"/>
      <c r="T35" s="1723"/>
      <c r="U35" s="1077"/>
    </row>
    <row r="36" spans="1:21">
      <c r="A36" s="1713"/>
      <c r="B36" s="1713"/>
      <c r="C36" s="1713"/>
      <c r="D36" s="1713"/>
      <c r="E36" s="1713"/>
      <c r="F36" s="1713"/>
      <c r="G36" s="1713"/>
      <c r="H36" s="1713"/>
      <c r="I36" s="1714"/>
      <c r="J36" s="1714"/>
      <c r="K36" s="1714"/>
      <c r="L36" s="1714"/>
      <c r="M36" s="1714"/>
      <c r="N36" s="1714"/>
      <c r="O36" s="1715"/>
      <c r="P36" s="1715"/>
      <c r="Q36" s="1715"/>
      <c r="R36" s="1716"/>
      <c r="S36" s="1716"/>
      <c r="T36" s="1716"/>
      <c r="U36" s="1077">
        <f>INT((M36*O36*R36)*100)/100</f>
        <v>0</v>
      </c>
    </row>
    <row r="37" spans="1:21">
      <c r="A37" s="1709"/>
      <c r="B37" s="1709"/>
      <c r="C37" s="1709"/>
      <c r="D37" s="1709"/>
      <c r="E37" s="1709"/>
      <c r="F37" s="1709"/>
      <c r="G37" s="1709"/>
      <c r="H37" s="1709"/>
      <c r="I37" s="1710"/>
      <c r="J37" s="1710"/>
      <c r="K37" s="1710"/>
      <c r="L37" s="1710"/>
      <c r="M37" s="1710"/>
      <c r="N37" s="1710"/>
      <c r="O37" s="1711"/>
      <c r="P37" s="1711"/>
      <c r="Q37" s="1711"/>
      <c r="R37" s="1712"/>
      <c r="S37" s="1712"/>
      <c r="T37" s="1712"/>
      <c r="U37" s="1078">
        <f>INT((M37*O37*R37)*100)/100</f>
        <v>0</v>
      </c>
    </row>
    <row r="38" spans="1:21" ht="15">
      <c r="A38" s="1703"/>
      <c r="B38" s="1703"/>
      <c r="C38" s="1703"/>
      <c r="D38" s="1703"/>
      <c r="E38" s="1703"/>
      <c r="F38" s="1703"/>
      <c r="G38" s="1703"/>
      <c r="H38" s="1703"/>
      <c r="I38" s="1703"/>
      <c r="J38" s="1703"/>
      <c r="K38" s="1703"/>
      <c r="L38" s="1703"/>
      <c r="M38" s="1703"/>
      <c r="N38" s="1703"/>
      <c r="O38" s="1703"/>
      <c r="P38" s="1703"/>
      <c r="Q38" s="1703"/>
      <c r="R38" s="1704" t="s">
        <v>1055</v>
      </c>
      <c r="S38" s="1704"/>
      <c r="T38" s="1704"/>
      <c r="U38" s="1079">
        <f>SUM(U34:U37)</f>
        <v>0</v>
      </c>
    </row>
    <row r="39" spans="1:21" ht="15">
      <c r="A39" s="1705"/>
      <c r="B39" s="1705"/>
      <c r="C39" s="1705"/>
      <c r="D39" s="1705"/>
      <c r="E39" s="1705"/>
      <c r="F39" s="1705"/>
      <c r="G39" s="1705"/>
      <c r="H39" s="1705"/>
      <c r="I39" s="1705"/>
      <c r="J39" s="1705"/>
      <c r="K39" s="1705"/>
      <c r="L39" s="1705"/>
      <c r="M39" s="1705"/>
      <c r="N39" s="1705"/>
      <c r="O39" s="1705"/>
      <c r="P39" s="1705"/>
      <c r="Q39" s="1705"/>
      <c r="R39" s="1705"/>
      <c r="S39" s="1705"/>
      <c r="T39" s="1705"/>
      <c r="U39" s="1705"/>
    </row>
    <row r="40" spans="1:21">
      <c r="A40" s="1706" t="s">
        <v>1056</v>
      </c>
      <c r="B40" s="1706"/>
      <c r="C40" s="1706"/>
      <c r="D40" s="1706"/>
      <c r="E40" s="1706"/>
      <c r="F40" s="1706"/>
      <c r="G40" s="1706"/>
      <c r="H40" s="1706"/>
      <c r="I40" s="1706"/>
      <c r="J40" s="1706"/>
      <c r="K40" s="1706"/>
      <c r="L40" s="1706"/>
      <c r="M40" s="1706"/>
      <c r="N40" s="1706"/>
      <c r="O40" s="1706"/>
      <c r="P40" s="1706"/>
      <c r="Q40" s="1706"/>
      <c r="R40" s="1706"/>
      <c r="S40" s="1706"/>
      <c r="T40" s="1706"/>
      <c r="U40" s="1080">
        <f>SUM(U23,U31,U38)</f>
        <v>15.482837499999999</v>
      </c>
    </row>
    <row r="41" spans="1:21">
      <c r="A41" s="1081" t="s">
        <v>1057</v>
      </c>
      <c r="B41" s="1082"/>
      <c r="C41" s="1082"/>
      <c r="D41" s="1082"/>
      <c r="E41" s="1082"/>
      <c r="F41" s="1082"/>
      <c r="G41" s="1082"/>
      <c r="H41" s="1083" t="s">
        <v>1058</v>
      </c>
      <c r="I41" s="1707">
        <v>0</v>
      </c>
      <c r="J41" s="1707"/>
      <c r="K41" s="1082" t="s">
        <v>1059</v>
      </c>
      <c r="L41" s="1082"/>
      <c r="M41" s="1082"/>
      <c r="N41" s="1082"/>
      <c r="O41" s="1082"/>
      <c r="P41" s="1082"/>
      <c r="Q41" s="1082"/>
      <c r="R41" s="1082"/>
      <c r="S41" s="1082"/>
      <c r="T41" s="1082"/>
      <c r="U41" s="1084">
        <f>TRUNC((U40*I41),2)</f>
        <v>0</v>
      </c>
    </row>
    <row r="42" spans="1:21" ht="18.75">
      <c r="A42" s="1708" t="s">
        <v>1060</v>
      </c>
      <c r="B42" s="1708"/>
      <c r="C42" s="1708"/>
      <c r="D42" s="1708"/>
      <c r="E42" s="1708"/>
      <c r="F42" s="1708"/>
      <c r="G42" s="1708"/>
      <c r="H42" s="1708"/>
      <c r="I42" s="1708"/>
      <c r="J42" s="1708"/>
      <c r="K42" s="1708"/>
      <c r="L42" s="1708"/>
      <c r="M42" s="1708"/>
      <c r="N42" s="1708"/>
      <c r="O42" s="1708"/>
      <c r="P42" s="1708"/>
      <c r="Q42" s="1708"/>
      <c r="R42" s="1708"/>
      <c r="S42" s="1708"/>
      <c r="T42" s="1708"/>
      <c r="U42" s="1084">
        <f>TRUNC((U41+U40),2)</f>
        <v>15.48</v>
      </c>
    </row>
  </sheetData>
  <mergeCells count="160">
    <mergeCell ref="A1:T1"/>
    <mergeCell ref="A2:E2"/>
    <mergeCell ref="F2:T2"/>
    <mergeCell ref="A3:E3"/>
    <mergeCell ref="F3:T3"/>
    <mergeCell ref="A4:J5"/>
    <mergeCell ref="K4:L5"/>
    <mergeCell ref="M4:P4"/>
    <mergeCell ref="Q4:T4"/>
    <mergeCell ref="U4:U5"/>
    <mergeCell ref="M5:N5"/>
    <mergeCell ref="O5:P5"/>
    <mergeCell ref="Q5:R5"/>
    <mergeCell ref="S5:T5"/>
    <mergeCell ref="A6:J6"/>
    <mergeCell ref="K6:L6"/>
    <mergeCell ref="M6:N6"/>
    <mergeCell ref="O6:P6"/>
    <mergeCell ref="Q6:R6"/>
    <mergeCell ref="A8:J8"/>
    <mergeCell ref="K8:L8"/>
    <mergeCell ref="M8:N8"/>
    <mergeCell ref="O8:P8"/>
    <mergeCell ref="Q8:R8"/>
    <mergeCell ref="S8:T8"/>
    <mergeCell ref="S6:T6"/>
    <mergeCell ref="A7:J7"/>
    <mergeCell ref="K7:L7"/>
    <mergeCell ref="M7:N7"/>
    <mergeCell ref="O7:P7"/>
    <mergeCell ref="Q7:R7"/>
    <mergeCell ref="S7:T7"/>
    <mergeCell ref="A10:J10"/>
    <mergeCell ref="K10:L10"/>
    <mergeCell ref="M10:N10"/>
    <mergeCell ref="O10:P10"/>
    <mergeCell ref="Q10:R10"/>
    <mergeCell ref="S10:T10"/>
    <mergeCell ref="A9:J9"/>
    <mergeCell ref="K9:L9"/>
    <mergeCell ref="M9:N9"/>
    <mergeCell ref="O9:P9"/>
    <mergeCell ref="Q9:R9"/>
    <mergeCell ref="S9:T9"/>
    <mergeCell ref="A12:J12"/>
    <mergeCell ref="K12:L12"/>
    <mergeCell ref="M12:N12"/>
    <mergeCell ref="O12:P12"/>
    <mergeCell ref="Q12:R12"/>
    <mergeCell ref="S12:T12"/>
    <mergeCell ref="A11:J11"/>
    <mergeCell ref="K11:L11"/>
    <mergeCell ref="M11:N11"/>
    <mergeCell ref="O11:P11"/>
    <mergeCell ref="Q11:R11"/>
    <mergeCell ref="S11:T11"/>
    <mergeCell ref="A14:J14"/>
    <mergeCell ref="K14:L14"/>
    <mergeCell ref="M14:N14"/>
    <mergeCell ref="O14:P14"/>
    <mergeCell ref="Q14:R14"/>
    <mergeCell ref="S14:T14"/>
    <mergeCell ref="A13:J13"/>
    <mergeCell ref="K13:L13"/>
    <mergeCell ref="M13:N13"/>
    <mergeCell ref="O13:P13"/>
    <mergeCell ref="Q13:R13"/>
    <mergeCell ref="S13:T13"/>
    <mergeCell ref="A18:N18"/>
    <mergeCell ref="O18:Q18"/>
    <mergeCell ref="R18:T18"/>
    <mergeCell ref="A19:N19"/>
    <mergeCell ref="O19:Q19"/>
    <mergeCell ref="R19:T19"/>
    <mergeCell ref="A15:Q15"/>
    <mergeCell ref="R15:T15"/>
    <mergeCell ref="A16:N16"/>
    <mergeCell ref="O16:Q16"/>
    <mergeCell ref="R16:T16"/>
    <mergeCell ref="A17:N17"/>
    <mergeCell ref="O17:Q17"/>
    <mergeCell ref="R17:T17"/>
    <mergeCell ref="A23:C23"/>
    <mergeCell ref="D23:T23"/>
    <mergeCell ref="A24:L24"/>
    <mergeCell ref="M24:N24"/>
    <mergeCell ref="O24:Q24"/>
    <mergeCell ref="R24:T24"/>
    <mergeCell ref="A20:N20"/>
    <mergeCell ref="O20:Q20"/>
    <mergeCell ref="R20:T20"/>
    <mergeCell ref="A21:Q21"/>
    <mergeCell ref="R21:T21"/>
    <mergeCell ref="A22:I22"/>
    <mergeCell ref="J22:L22"/>
    <mergeCell ref="M22:T22"/>
    <mergeCell ref="A27:L27"/>
    <mergeCell ref="M27:N27"/>
    <mergeCell ref="O27:Q27"/>
    <mergeCell ref="R27:T27"/>
    <mergeCell ref="A28:L28"/>
    <mergeCell ref="M28:N28"/>
    <mergeCell ref="O28:Q28"/>
    <mergeCell ref="R28:T28"/>
    <mergeCell ref="A25:L25"/>
    <mergeCell ref="M25:N25"/>
    <mergeCell ref="O25:Q25"/>
    <mergeCell ref="R25:T25"/>
    <mergeCell ref="A26:L26"/>
    <mergeCell ref="M26:N26"/>
    <mergeCell ref="O26:Q26"/>
    <mergeCell ref="R26:T26"/>
    <mergeCell ref="A31:Q31"/>
    <mergeCell ref="R31:T31"/>
    <mergeCell ref="A32:H33"/>
    <mergeCell ref="I32:N32"/>
    <mergeCell ref="O32:Q33"/>
    <mergeCell ref="R32:T33"/>
    <mergeCell ref="A29:L29"/>
    <mergeCell ref="M29:N29"/>
    <mergeCell ref="O29:Q29"/>
    <mergeCell ref="R29:T29"/>
    <mergeCell ref="A30:L30"/>
    <mergeCell ref="M30:N30"/>
    <mergeCell ref="O30:Q30"/>
    <mergeCell ref="R30:T30"/>
    <mergeCell ref="U32:U33"/>
    <mergeCell ref="I33:J33"/>
    <mergeCell ref="K33:L33"/>
    <mergeCell ref="M33:N33"/>
    <mergeCell ref="A34:H34"/>
    <mergeCell ref="I34:J34"/>
    <mergeCell ref="K34:L34"/>
    <mergeCell ref="M34:N34"/>
    <mergeCell ref="O34:Q34"/>
    <mergeCell ref="R34:T34"/>
    <mergeCell ref="A36:H36"/>
    <mergeCell ref="I36:J36"/>
    <mergeCell ref="K36:L36"/>
    <mergeCell ref="M36:N36"/>
    <mergeCell ref="O36:Q36"/>
    <mergeCell ref="R36:T36"/>
    <mergeCell ref="A35:H35"/>
    <mergeCell ref="I35:J35"/>
    <mergeCell ref="K35:L35"/>
    <mergeCell ref="M35:N35"/>
    <mergeCell ref="O35:Q35"/>
    <mergeCell ref="R35:T35"/>
    <mergeCell ref="A38:Q38"/>
    <mergeCell ref="R38:T38"/>
    <mergeCell ref="A39:U39"/>
    <mergeCell ref="A40:T40"/>
    <mergeCell ref="I41:J41"/>
    <mergeCell ref="A42:T42"/>
    <mergeCell ref="A37:H37"/>
    <mergeCell ref="I37:J37"/>
    <mergeCell ref="K37:L37"/>
    <mergeCell ref="M37:N37"/>
    <mergeCell ref="O37:Q37"/>
    <mergeCell ref="R37:T37"/>
  </mergeCells>
  <conditionalFormatting sqref="O7:P11 O13:P13">
    <cfRule type="cellIs" dxfId="5" priority="3" stopIfTrue="1" operator="equal">
      <formula>1</formula>
    </cfRule>
  </conditionalFormatting>
  <conditionalFormatting sqref="O6:P6">
    <cfRule type="cellIs" dxfId="4" priority="2" stopIfTrue="1" operator="equal">
      <formula>1</formula>
    </cfRule>
  </conditionalFormatting>
  <conditionalFormatting sqref="O12:P12">
    <cfRule type="cellIs" dxfId="3" priority="1" stopIfTrue="1" operator="equal">
      <formula>1</formula>
    </cfRule>
  </conditionalFormatting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topLeftCell="A25" workbookViewId="0">
      <selection activeCell="U42" sqref="A1:U42"/>
    </sheetView>
  </sheetViews>
  <sheetFormatPr defaultRowHeight="12.75"/>
  <cols>
    <col min="1" max="11" width="4.140625" customWidth="1"/>
    <col min="12" max="12" width="6.85546875" customWidth="1"/>
    <col min="13" max="20" width="4.140625" customWidth="1"/>
    <col min="21" max="21" width="12.7109375" customWidth="1"/>
  </cols>
  <sheetData>
    <row r="1" spans="1:21" ht="19.5">
      <c r="A1" s="1810" t="s">
        <v>1014</v>
      </c>
      <c r="B1" s="1811"/>
      <c r="C1" s="1811"/>
      <c r="D1" s="1811"/>
      <c r="E1" s="1811"/>
      <c r="F1" s="1811"/>
      <c r="G1" s="1811"/>
      <c r="H1" s="1811"/>
      <c r="I1" s="1811"/>
      <c r="J1" s="1811"/>
      <c r="K1" s="1811"/>
      <c r="L1" s="1811"/>
      <c r="M1" s="1811"/>
      <c r="N1" s="1811"/>
      <c r="O1" s="1811"/>
      <c r="P1" s="1811"/>
      <c r="Q1" s="1811"/>
      <c r="R1" s="1811"/>
      <c r="S1" s="1811"/>
      <c r="T1" s="1811"/>
      <c r="U1" s="1085">
        <v>42675</v>
      </c>
    </row>
    <row r="2" spans="1:21">
      <c r="A2" s="1793" t="s">
        <v>1015</v>
      </c>
      <c r="B2" s="1794"/>
      <c r="C2" s="1794"/>
      <c r="D2" s="1794"/>
      <c r="E2" s="1795"/>
      <c r="F2" s="1793" t="s">
        <v>1016</v>
      </c>
      <c r="G2" s="1794"/>
      <c r="H2" s="1794"/>
      <c r="I2" s="1794"/>
      <c r="J2" s="1794"/>
      <c r="K2" s="1794"/>
      <c r="L2" s="1794"/>
      <c r="M2" s="1794"/>
      <c r="N2" s="1794"/>
      <c r="O2" s="1794"/>
      <c r="P2" s="1794"/>
      <c r="Q2" s="1794"/>
      <c r="R2" s="1794"/>
      <c r="S2" s="1794"/>
      <c r="T2" s="1795"/>
      <c r="U2" s="1066" t="s">
        <v>1017</v>
      </c>
    </row>
    <row r="3" spans="1:21">
      <c r="A3" s="1796" t="s">
        <v>1018</v>
      </c>
      <c r="B3" s="1797"/>
      <c r="C3" s="1797"/>
      <c r="D3" s="1797"/>
      <c r="E3" s="1798"/>
      <c r="F3" s="1799" t="s">
        <v>1061</v>
      </c>
      <c r="G3" s="1800"/>
      <c r="H3" s="1800"/>
      <c r="I3" s="1800"/>
      <c r="J3" s="1800"/>
      <c r="K3" s="1800"/>
      <c r="L3" s="1800"/>
      <c r="M3" s="1800"/>
      <c r="N3" s="1800"/>
      <c r="O3" s="1800"/>
      <c r="P3" s="1800"/>
      <c r="Q3" s="1800"/>
      <c r="R3" s="1800"/>
      <c r="S3" s="1800"/>
      <c r="T3" s="1801"/>
      <c r="U3" s="1067" t="s">
        <v>65</v>
      </c>
    </row>
    <row r="4" spans="1:21">
      <c r="A4" s="1733" t="s">
        <v>1020</v>
      </c>
      <c r="B4" s="1733"/>
      <c r="C4" s="1733"/>
      <c r="D4" s="1733"/>
      <c r="E4" s="1733"/>
      <c r="F4" s="1733"/>
      <c r="G4" s="1733"/>
      <c r="H4" s="1733"/>
      <c r="I4" s="1733"/>
      <c r="J4" s="1733"/>
      <c r="K4" s="1724" t="s">
        <v>4</v>
      </c>
      <c r="L4" s="1724"/>
      <c r="M4" s="1724" t="s">
        <v>1021</v>
      </c>
      <c r="N4" s="1724"/>
      <c r="O4" s="1724"/>
      <c r="P4" s="1724"/>
      <c r="Q4" s="1724" t="s">
        <v>1022</v>
      </c>
      <c r="R4" s="1724"/>
      <c r="S4" s="1724"/>
      <c r="T4" s="1724"/>
      <c r="U4" s="1724" t="s">
        <v>1023</v>
      </c>
    </row>
    <row r="5" spans="1:21">
      <c r="A5" s="1733"/>
      <c r="B5" s="1733"/>
      <c r="C5" s="1733"/>
      <c r="D5" s="1733"/>
      <c r="E5" s="1733"/>
      <c r="F5" s="1733"/>
      <c r="G5" s="1733"/>
      <c r="H5" s="1733"/>
      <c r="I5" s="1733"/>
      <c r="J5" s="1733"/>
      <c r="K5" s="1724"/>
      <c r="L5" s="1724"/>
      <c r="M5" s="1724" t="s">
        <v>1024</v>
      </c>
      <c r="N5" s="1724"/>
      <c r="O5" s="1724" t="s">
        <v>1025</v>
      </c>
      <c r="P5" s="1724"/>
      <c r="Q5" s="1724" t="s">
        <v>1024</v>
      </c>
      <c r="R5" s="1724"/>
      <c r="S5" s="1724" t="s">
        <v>1025</v>
      </c>
      <c r="T5" s="1724"/>
      <c r="U5" s="1724"/>
    </row>
    <row r="6" spans="1:21">
      <c r="A6" s="1788" t="s">
        <v>1026</v>
      </c>
      <c r="B6" s="1807"/>
      <c r="C6" s="1807"/>
      <c r="D6" s="1807"/>
      <c r="E6" s="1807"/>
      <c r="F6" s="1807"/>
      <c r="G6" s="1807"/>
      <c r="H6" s="1807"/>
      <c r="I6" s="1807"/>
      <c r="J6" s="1808"/>
      <c r="K6" s="1809">
        <v>1</v>
      </c>
      <c r="L6" s="1809"/>
      <c r="M6" s="1809">
        <v>0.78</v>
      </c>
      <c r="N6" s="1809"/>
      <c r="O6" s="1809">
        <v>0.22</v>
      </c>
      <c r="P6" s="1809"/>
      <c r="Q6" s="1787">
        <v>175.21</v>
      </c>
      <c r="R6" s="1787"/>
      <c r="S6" s="1787">
        <v>18.43</v>
      </c>
      <c r="T6" s="1787"/>
      <c r="U6" s="1068">
        <f>K6*TRUNC((M6*Q6+O6*S6),2)</f>
        <v>140.71</v>
      </c>
    </row>
    <row r="7" spans="1:21">
      <c r="A7" s="1780" t="s">
        <v>1027</v>
      </c>
      <c r="B7" s="1781"/>
      <c r="C7" s="1781"/>
      <c r="D7" s="1781"/>
      <c r="E7" s="1781"/>
      <c r="F7" s="1781"/>
      <c r="G7" s="1781"/>
      <c r="H7" s="1781"/>
      <c r="I7" s="1781"/>
      <c r="J7" s="1782"/>
      <c r="K7" s="1805">
        <v>1</v>
      </c>
      <c r="L7" s="1806"/>
      <c r="M7" s="1805">
        <v>0.52</v>
      </c>
      <c r="N7" s="1806"/>
      <c r="O7" s="1805">
        <v>0.48</v>
      </c>
      <c r="P7" s="1806"/>
      <c r="Q7" s="1785">
        <v>77.7</v>
      </c>
      <c r="R7" s="1786"/>
      <c r="S7" s="1785">
        <v>13.79</v>
      </c>
      <c r="T7" s="1786"/>
      <c r="U7" s="1068">
        <f t="shared" ref="U7:U12" si="0">K7*TRUNC((M7*Q7+O7*S7),2)</f>
        <v>47.02</v>
      </c>
    </row>
    <row r="8" spans="1:21">
      <c r="A8" s="1780" t="s">
        <v>1028</v>
      </c>
      <c r="B8" s="1781"/>
      <c r="C8" s="1781"/>
      <c r="D8" s="1781"/>
      <c r="E8" s="1781"/>
      <c r="F8" s="1781"/>
      <c r="G8" s="1781"/>
      <c r="H8" s="1781"/>
      <c r="I8" s="1781"/>
      <c r="J8" s="1782"/>
      <c r="K8" s="1805">
        <v>1</v>
      </c>
      <c r="L8" s="1806"/>
      <c r="M8" s="1805">
        <v>1</v>
      </c>
      <c r="N8" s="1806"/>
      <c r="O8" s="1805">
        <v>0</v>
      </c>
      <c r="P8" s="1806"/>
      <c r="Q8" s="1785">
        <v>120.48</v>
      </c>
      <c r="R8" s="1786"/>
      <c r="S8" s="1785">
        <v>13.79</v>
      </c>
      <c r="T8" s="1786"/>
      <c r="U8" s="1068">
        <f t="shared" si="0"/>
        <v>120.48</v>
      </c>
    </row>
    <row r="9" spans="1:21">
      <c r="A9" s="1780" t="s">
        <v>1029</v>
      </c>
      <c r="B9" s="1781"/>
      <c r="C9" s="1781"/>
      <c r="D9" s="1781"/>
      <c r="E9" s="1781"/>
      <c r="F9" s="1781"/>
      <c r="G9" s="1781"/>
      <c r="H9" s="1781"/>
      <c r="I9" s="1781"/>
      <c r="J9" s="1782"/>
      <c r="K9" s="1805">
        <v>1</v>
      </c>
      <c r="L9" s="1806"/>
      <c r="M9" s="1805">
        <v>0.52</v>
      </c>
      <c r="N9" s="1806"/>
      <c r="O9" s="1805">
        <v>0.48</v>
      </c>
      <c r="P9" s="1806"/>
      <c r="Q9" s="1785">
        <v>3.59</v>
      </c>
      <c r="R9" s="1786"/>
      <c r="S9" s="1785">
        <v>0</v>
      </c>
      <c r="T9" s="1786"/>
      <c r="U9" s="1068">
        <f t="shared" si="0"/>
        <v>1.86</v>
      </c>
    </row>
    <row r="10" spans="1:21">
      <c r="A10" s="1777" t="s">
        <v>1030</v>
      </c>
      <c r="B10" s="1778"/>
      <c r="C10" s="1778"/>
      <c r="D10" s="1778"/>
      <c r="E10" s="1778"/>
      <c r="F10" s="1778"/>
      <c r="G10" s="1778"/>
      <c r="H10" s="1778"/>
      <c r="I10" s="1778"/>
      <c r="J10" s="1779"/>
      <c r="K10" s="1804">
        <v>1</v>
      </c>
      <c r="L10" s="1804"/>
      <c r="M10" s="1804">
        <v>0.78</v>
      </c>
      <c r="N10" s="1804"/>
      <c r="O10" s="1804">
        <v>0.22</v>
      </c>
      <c r="P10" s="1804"/>
      <c r="Q10" s="1776">
        <v>145.84</v>
      </c>
      <c r="R10" s="1776"/>
      <c r="S10" s="1776">
        <v>13.79</v>
      </c>
      <c r="T10" s="1776"/>
      <c r="U10" s="1068">
        <f t="shared" si="0"/>
        <v>116.78</v>
      </c>
    </row>
    <row r="11" spans="1:21">
      <c r="A11" s="1755" t="s">
        <v>1031</v>
      </c>
      <c r="B11" s="1755"/>
      <c r="C11" s="1755"/>
      <c r="D11" s="1755"/>
      <c r="E11" s="1755"/>
      <c r="F11" s="1755"/>
      <c r="G11" s="1755"/>
      <c r="H11" s="1755"/>
      <c r="I11" s="1755"/>
      <c r="J11" s="1755"/>
      <c r="K11" s="1804">
        <v>1.49</v>
      </c>
      <c r="L11" s="1804"/>
      <c r="M11" s="1804">
        <v>1</v>
      </c>
      <c r="N11" s="1804"/>
      <c r="O11" s="1804">
        <v>0</v>
      </c>
      <c r="P11" s="1804"/>
      <c r="Q11" s="1776">
        <v>157.83000000000001</v>
      </c>
      <c r="R11" s="1776"/>
      <c r="S11" s="1776">
        <v>13.79</v>
      </c>
      <c r="T11" s="1776"/>
      <c r="U11" s="1068">
        <f t="shared" si="0"/>
        <v>235.16670000000002</v>
      </c>
    </row>
    <row r="12" spans="1:21">
      <c r="A12" s="1755" t="s">
        <v>1032</v>
      </c>
      <c r="B12" s="1755"/>
      <c r="C12" s="1755"/>
      <c r="D12" s="1755"/>
      <c r="E12" s="1755"/>
      <c r="F12" s="1755"/>
      <c r="G12" s="1755"/>
      <c r="H12" s="1755"/>
      <c r="I12" s="1755"/>
      <c r="J12" s="1755"/>
      <c r="K12" s="1804">
        <v>2</v>
      </c>
      <c r="L12" s="1804"/>
      <c r="M12" s="1804">
        <v>0.54</v>
      </c>
      <c r="N12" s="1804"/>
      <c r="O12" s="1804">
        <v>0.46</v>
      </c>
      <c r="P12" s="1804"/>
      <c r="Q12" s="1776">
        <v>160.63999999999999</v>
      </c>
      <c r="R12" s="1776"/>
      <c r="S12" s="1776">
        <v>13.79</v>
      </c>
      <c r="T12" s="1776"/>
      <c r="U12" s="1068">
        <f t="shared" si="0"/>
        <v>186.16</v>
      </c>
    </row>
    <row r="13" spans="1:21">
      <c r="A13" s="1774"/>
      <c r="B13" s="1774"/>
      <c r="C13" s="1774"/>
      <c r="D13" s="1774"/>
      <c r="E13" s="1774"/>
      <c r="F13" s="1774"/>
      <c r="G13" s="1774"/>
      <c r="H13" s="1774"/>
      <c r="I13" s="1774"/>
      <c r="J13" s="1774"/>
      <c r="K13" s="1804"/>
      <c r="L13" s="1804"/>
      <c r="M13" s="1804"/>
      <c r="N13" s="1804"/>
      <c r="O13" s="1804"/>
      <c r="P13" s="1804"/>
      <c r="Q13" s="1776"/>
      <c r="R13" s="1776"/>
      <c r="S13" s="1776"/>
      <c r="T13" s="1776"/>
      <c r="U13" s="1069"/>
    </row>
    <row r="14" spans="1:21">
      <c r="A14" s="1770" t="s">
        <v>1033</v>
      </c>
      <c r="B14" s="1770"/>
      <c r="C14" s="1770"/>
      <c r="D14" s="1770"/>
      <c r="E14" s="1770"/>
      <c r="F14" s="1770"/>
      <c r="G14" s="1770"/>
      <c r="H14" s="1770"/>
      <c r="I14" s="1770"/>
      <c r="J14" s="1770"/>
      <c r="K14" s="1771">
        <v>0.15509999999999999</v>
      </c>
      <c r="L14" s="1771"/>
      <c r="M14" s="1772"/>
      <c r="N14" s="1772"/>
      <c r="O14" s="1772"/>
      <c r="P14" s="1772"/>
      <c r="Q14" s="1773"/>
      <c r="R14" s="1773"/>
      <c r="S14" s="1773"/>
      <c r="T14" s="1773"/>
      <c r="U14" s="1069">
        <f>TRUNC(K14*U21,2)</f>
        <v>9.68</v>
      </c>
    </row>
    <row r="15" spans="1:21">
      <c r="A15" s="1802"/>
      <c r="B15" s="1802"/>
      <c r="C15" s="1802"/>
      <c r="D15" s="1802"/>
      <c r="E15" s="1802"/>
      <c r="F15" s="1802"/>
      <c r="G15" s="1802"/>
      <c r="H15" s="1802"/>
      <c r="I15" s="1802"/>
      <c r="J15" s="1802"/>
      <c r="K15" s="1802"/>
      <c r="L15" s="1802"/>
      <c r="M15" s="1802"/>
      <c r="N15" s="1802"/>
      <c r="O15" s="1802"/>
      <c r="P15" s="1802"/>
      <c r="Q15" s="1802"/>
      <c r="R15" s="1704" t="s">
        <v>1034</v>
      </c>
      <c r="S15" s="1704"/>
      <c r="T15" s="1704"/>
      <c r="U15" s="1070">
        <f>SUM(U6:U14)</f>
        <v>857.85669999999993</v>
      </c>
    </row>
    <row r="16" spans="1:21" ht="24">
      <c r="A16" s="1733" t="s">
        <v>1035</v>
      </c>
      <c r="B16" s="1733"/>
      <c r="C16" s="1733"/>
      <c r="D16" s="1733"/>
      <c r="E16" s="1733"/>
      <c r="F16" s="1733"/>
      <c r="G16" s="1733"/>
      <c r="H16" s="1733"/>
      <c r="I16" s="1733"/>
      <c r="J16" s="1733"/>
      <c r="K16" s="1733"/>
      <c r="L16" s="1733"/>
      <c r="M16" s="1733"/>
      <c r="N16" s="1733"/>
      <c r="O16" s="1724" t="s">
        <v>652</v>
      </c>
      <c r="P16" s="1724"/>
      <c r="Q16" s="1724"/>
      <c r="R16" s="1724" t="s">
        <v>1036</v>
      </c>
      <c r="S16" s="1724"/>
      <c r="T16" s="1724"/>
      <c r="U16" s="1071" t="s">
        <v>1023</v>
      </c>
    </row>
    <row r="17" spans="1:21">
      <c r="A17" s="1769" t="s">
        <v>1037</v>
      </c>
      <c r="B17" s="1769"/>
      <c r="C17" s="1769"/>
      <c r="D17" s="1769"/>
      <c r="E17" s="1769"/>
      <c r="F17" s="1769"/>
      <c r="G17" s="1769"/>
      <c r="H17" s="1769"/>
      <c r="I17" s="1769"/>
      <c r="J17" s="1769"/>
      <c r="K17" s="1769"/>
      <c r="L17" s="1769"/>
      <c r="M17" s="1769"/>
      <c r="N17" s="1769"/>
      <c r="O17" s="1757">
        <v>1</v>
      </c>
      <c r="P17" s="1757"/>
      <c r="Q17" s="1757"/>
      <c r="R17" s="1758">
        <v>35.450000000000003</v>
      </c>
      <c r="S17" s="1758"/>
      <c r="T17" s="1758"/>
      <c r="U17" s="1072">
        <f>ROUND(R17*O17,2)</f>
        <v>35.450000000000003</v>
      </c>
    </row>
    <row r="18" spans="1:21">
      <c r="A18" s="1766" t="s">
        <v>1038</v>
      </c>
      <c r="B18" s="1766"/>
      <c r="C18" s="1766"/>
      <c r="D18" s="1766"/>
      <c r="E18" s="1766"/>
      <c r="F18" s="1766"/>
      <c r="G18" s="1766"/>
      <c r="H18" s="1766"/>
      <c r="I18" s="1766"/>
      <c r="J18" s="1766"/>
      <c r="K18" s="1766"/>
      <c r="L18" s="1766"/>
      <c r="M18" s="1766"/>
      <c r="N18" s="1766"/>
      <c r="O18" s="1767">
        <v>3</v>
      </c>
      <c r="P18" s="1767"/>
      <c r="Q18" s="1767"/>
      <c r="R18" s="1768">
        <v>8.99</v>
      </c>
      <c r="S18" s="1768"/>
      <c r="T18" s="1768"/>
      <c r="U18" s="1072">
        <f t="shared" ref="U18" si="1">ROUND(R18*O18,2)</f>
        <v>26.97</v>
      </c>
    </row>
    <row r="19" spans="1:21">
      <c r="A19" s="1766"/>
      <c r="B19" s="1766"/>
      <c r="C19" s="1766"/>
      <c r="D19" s="1766"/>
      <c r="E19" s="1766"/>
      <c r="F19" s="1766"/>
      <c r="G19" s="1766"/>
      <c r="H19" s="1766"/>
      <c r="I19" s="1766"/>
      <c r="J19" s="1766"/>
      <c r="K19" s="1766"/>
      <c r="L19" s="1766"/>
      <c r="M19" s="1766"/>
      <c r="N19" s="1766"/>
      <c r="O19" s="1767"/>
      <c r="P19" s="1767"/>
      <c r="Q19" s="1767"/>
      <c r="R19" s="1768"/>
      <c r="S19" s="1768"/>
      <c r="T19" s="1768"/>
      <c r="U19" s="1072"/>
    </row>
    <row r="20" spans="1:21">
      <c r="A20" s="1760"/>
      <c r="B20" s="1760"/>
      <c r="C20" s="1760"/>
      <c r="D20" s="1760"/>
      <c r="E20" s="1760"/>
      <c r="F20" s="1760"/>
      <c r="G20" s="1760"/>
      <c r="H20" s="1760"/>
      <c r="I20" s="1760"/>
      <c r="J20" s="1760"/>
      <c r="K20" s="1760"/>
      <c r="L20" s="1760"/>
      <c r="M20" s="1760"/>
      <c r="N20" s="1760"/>
      <c r="O20" s="1747"/>
      <c r="P20" s="1747"/>
      <c r="Q20" s="1747"/>
      <c r="R20" s="1748"/>
      <c r="S20" s="1748"/>
      <c r="T20" s="1748"/>
      <c r="U20" s="1073"/>
    </row>
    <row r="21" spans="1:21">
      <c r="A21" s="1802"/>
      <c r="B21" s="1802"/>
      <c r="C21" s="1802"/>
      <c r="D21" s="1802"/>
      <c r="E21" s="1802"/>
      <c r="F21" s="1802"/>
      <c r="G21" s="1802"/>
      <c r="H21" s="1802"/>
      <c r="I21" s="1802"/>
      <c r="J21" s="1802"/>
      <c r="K21" s="1802"/>
      <c r="L21" s="1802"/>
      <c r="M21" s="1802"/>
      <c r="N21" s="1802"/>
      <c r="O21" s="1802"/>
      <c r="P21" s="1802"/>
      <c r="Q21" s="1802"/>
      <c r="R21" s="1704" t="s">
        <v>1039</v>
      </c>
      <c r="S21" s="1704"/>
      <c r="T21" s="1704"/>
      <c r="U21" s="1074">
        <f>SUM(U17:U20)</f>
        <v>62.42</v>
      </c>
    </row>
    <row r="22" spans="1:21">
      <c r="A22" s="1761" t="s">
        <v>1040</v>
      </c>
      <c r="B22" s="1761"/>
      <c r="C22" s="1761"/>
      <c r="D22" s="1761"/>
      <c r="E22" s="1761"/>
      <c r="F22" s="1761"/>
      <c r="G22" s="1761"/>
      <c r="H22" s="1761"/>
      <c r="I22" s="1762"/>
      <c r="J22" s="1763">
        <v>168</v>
      </c>
      <c r="K22" s="1764"/>
      <c r="L22" s="1764"/>
      <c r="M22" s="1765" t="s">
        <v>1041</v>
      </c>
      <c r="N22" s="1765"/>
      <c r="O22" s="1765"/>
      <c r="P22" s="1765"/>
      <c r="Q22" s="1765"/>
      <c r="R22" s="1765"/>
      <c r="S22" s="1765"/>
      <c r="T22" s="1765"/>
      <c r="U22" s="1074">
        <f>SUM(U15,U21)</f>
        <v>920.27669999999989</v>
      </c>
    </row>
    <row r="23" spans="1:21">
      <c r="A23" s="1759"/>
      <c r="B23" s="1759"/>
      <c r="C23" s="1759"/>
      <c r="D23" s="1725" t="s">
        <v>1042</v>
      </c>
      <c r="E23" s="1725"/>
      <c r="F23" s="1725"/>
      <c r="G23" s="1725"/>
      <c r="H23" s="1725"/>
      <c r="I23" s="1725"/>
      <c r="J23" s="1725"/>
      <c r="K23" s="1725"/>
      <c r="L23" s="1725"/>
      <c r="M23" s="1725"/>
      <c r="N23" s="1725"/>
      <c r="O23" s="1725"/>
      <c r="P23" s="1725"/>
      <c r="Q23" s="1725"/>
      <c r="R23" s="1725"/>
      <c r="S23" s="1725"/>
      <c r="T23" s="1725"/>
      <c r="U23" s="1074">
        <f>U22/J22</f>
        <v>5.4778374999999997</v>
      </c>
    </row>
    <row r="24" spans="1:21" ht="24">
      <c r="A24" s="1733" t="s">
        <v>1043</v>
      </c>
      <c r="B24" s="1733"/>
      <c r="C24" s="1733"/>
      <c r="D24" s="1733"/>
      <c r="E24" s="1733"/>
      <c r="F24" s="1733"/>
      <c r="G24" s="1733"/>
      <c r="H24" s="1733"/>
      <c r="I24" s="1733"/>
      <c r="J24" s="1733"/>
      <c r="K24" s="1733"/>
      <c r="L24" s="1733"/>
      <c r="M24" s="1724" t="s">
        <v>1044</v>
      </c>
      <c r="N24" s="1724"/>
      <c r="O24" s="1724" t="s">
        <v>1045</v>
      </c>
      <c r="P24" s="1724"/>
      <c r="Q24" s="1724"/>
      <c r="R24" s="1724" t="s">
        <v>1046</v>
      </c>
      <c r="S24" s="1724"/>
      <c r="T24" s="1724"/>
      <c r="U24" s="1071" t="s">
        <v>1047</v>
      </c>
    </row>
    <row r="25" spans="1:21">
      <c r="A25" s="1755"/>
      <c r="B25" s="1755"/>
      <c r="C25" s="1755"/>
      <c r="D25" s="1755"/>
      <c r="E25" s="1755"/>
      <c r="F25" s="1755"/>
      <c r="G25" s="1755"/>
      <c r="H25" s="1755"/>
      <c r="I25" s="1755"/>
      <c r="J25" s="1755"/>
      <c r="K25" s="1755"/>
      <c r="L25" s="1755"/>
      <c r="M25" s="1756"/>
      <c r="N25" s="1756"/>
      <c r="O25" s="1757"/>
      <c r="P25" s="1757"/>
      <c r="Q25" s="1757"/>
      <c r="R25" s="1758"/>
      <c r="S25" s="1758"/>
      <c r="T25" s="1758"/>
      <c r="U25" s="1072"/>
    </row>
    <row r="26" spans="1:21">
      <c r="A26" s="1734" t="s">
        <v>1048</v>
      </c>
      <c r="B26" s="1735"/>
      <c r="C26" s="1735"/>
      <c r="D26" s="1735"/>
      <c r="E26" s="1735"/>
      <c r="F26" s="1735"/>
      <c r="G26" s="1735"/>
      <c r="H26" s="1735"/>
      <c r="I26" s="1735"/>
      <c r="J26" s="1735"/>
      <c r="K26" s="1735"/>
      <c r="L26" s="1736"/>
      <c r="M26" s="1737" t="s">
        <v>65</v>
      </c>
      <c r="N26" s="1738"/>
      <c r="O26" s="1739">
        <v>1.1499999999999999</v>
      </c>
      <c r="P26" s="1740"/>
      <c r="Q26" s="1741"/>
      <c r="R26" s="1742">
        <v>8.6999999999999993</v>
      </c>
      <c r="S26" s="1743"/>
      <c r="T26" s="1744"/>
      <c r="U26" s="1072">
        <f>O26*R26</f>
        <v>10.004999999999999</v>
      </c>
    </row>
    <row r="27" spans="1:21">
      <c r="A27" s="1734"/>
      <c r="B27" s="1735"/>
      <c r="C27" s="1735"/>
      <c r="D27" s="1735"/>
      <c r="E27" s="1735"/>
      <c r="F27" s="1735"/>
      <c r="G27" s="1735"/>
      <c r="H27" s="1735"/>
      <c r="I27" s="1735"/>
      <c r="J27" s="1735"/>
      <c r="K27" s="1735"/>
      <c r="L27" s="1736"/>
      <c r="M27" s="1737"/>
      <c r="N27" s="1738"/>
      <c r="O27" s="1739"/>
      <c r="P27" s="1740"/>
      <c r="Q27" s="1741"/>
      <c r="R27" s="1742"/>
      <c r="S27" s="1743"/>
      <c r="T27" s="1744"/>
      <c r="U27" s="1072"/>
    </row>
    <row r="28" spans="1:21">
      <c r="A28" s="1749"/>
      <c r="B28" s="1750"/>
      <c r="C28" s="1750"/>
      <c r="D28" s="1750"/>
      <c r="E28" s="1750"/>
      <c r="F28" s="1750"/>
      <c r="G28" s="1750"/>
      <c r="H28" s="1750"/>
      <c r="I28" s="1750"/>
      <c r="J28" s="1750"/>
      <c r="K28" s="1750"/>
      <c r="L28" s="1751"/>
      <c r="M28" s="1737"/>
      <c r="N28" s="1738"/>
      <c r="O28" s="1739"/>
      <c r="P28" s="1740"/>
      <c r="Q28" s="1741"/>
      <c r="R28" s="1752"/>
      <c r="S28" s="1753"/>
      <c r="T28" s="1754"/>
      <c r="U28" s="1072"/>
    </row>
    <row r="29" spans="1:21">
      <c r="A29" s="1734"/>
      <c r="B29" s="1735"/>
      <c r="C29" s="1735"/>
      <c r="D29" s="1735"/>
      <c r="E29" s="1735"/>
      <c r="F29" s="1735"/>
      <c r="G29" s="1735"/>
      <c r="H29" s="1735"/>
      <c r="I29" s="1735"/>
      <c r="J29" s="1735"/>
      <c r="K29" s="1735"/>
      <c r="L29" s="1736"/>
      <c r="M29" s="1737"/>
      <c r="N29" s="1738"/>
      <c r="O29" s="1739"/>
      <c r="P29" s="1740"/>
      <c r="Q29" s="1741"/>
      <c r="R29" s="1742"/>
      <c r="S29" s="1743"/>
      <c r="T29" s="1744"/>
      <c r="U29" s="1072"/>
    </row>
    <row r="30" spans="1:21">
      <c r="A30" s="1745"/>
      <c r="B30" s="1745"/>
      <c r="C30" s="1745"/>
      <c r="D30" s="1745"/>
      <c r="E30" s="1745"/>
      <c r="F30" s="1745"/>
      <c r="G30" s="1745"/>
      <c r="H30" s="1745"/>
      <c r="I30" s="1745"/>
      <c r="J30" s="1745"/>
      <c r="K30" s="1745"/>
      <c r="L30" s="1745"/>
      <c r="M30" s="1746"/>
      <c r="N30" s="1746"/>
      <c r="O30" s="1747"/>
      <c r="P30" s="1747"/>
      <c r="Q30" s="1747"/>
      <c r="R30" s="1748"/>
      <c r="S30" s="1748"/>
      <c r="T30" s="1748"/>
      <c r="U30" s="1075"/>
    </row>
    <row r="31" spans="1:21">
      <c r="A31" s="1802"/>
      <c r="B31" s="1802"/>
      <c r="C31" s="1802"/>
      <c r="D31" s="1802"/>
      <c r="E31" s="1802"/>
      <c r="F31" s="1802"/>
      <c r="G31" s="1802"/>
      <c r="H31" s="1802"/>
      <c r="I31" s="1802"/>
      <c r="J31" s="1802"/>
      <c r="K31" s="1802"/>
      <c r="L31" s="1802"/>
      <c r="M31" s="1802"/>
      <c r="N31" s="1802"/>
      <c r="O31" s="1802"/>
      <c r="P31" s="1802"/>
      <c r="Q31" s="1802"/>
      <c r="R31" s="1704" t="s">
        <v>1049</v>
      </c>
      <c r="S31" s="1704"/>
      <c r="T31" s="1704"/>
      <c r="U31" s="1074">
        <f>SUM(U25:U30)</f>
        <v>10.004999999999999</v>
      </c>
    </row>
    <row r="32" spans="1:21">
      <c r="A32" s="1733" t="s">
        <v>1050</v>
      </c>
      <c r="B32" s="1733"/>
      <c r="C32" s="1733"/>
      <c r="D32" s="1733"/>
      <c r="E32" s="1733"/>
      <c r="F32" s="1733"/>
      <c r="G32" s="1733"/>
      <c r="H32" s="1733"/>
      <c r="I32" s="1725" t="s">
        <v>1051</v>
      </c>
      <c r="J32" s="1725"/>
      <c r="K32" s="1725"/>
      <c r="L32" s="1725"/>
      <c r="M32" s="1725"/>
      <c r="N32" s="1725"/>
      <c r="O32" s="1724" t="s">
        <v>1052</v>
      </c>
      <c r="P32" s="1724"/>
      <c r="Q32" s="1724"/>
      <c r="R32" s="1724" t="s">
        <v>1046</v>
      </c>
      <c r="S32" s="1724"/>
      <c r="T32" s="1724"/>
      <c r="U32" s="1724" t="s">
        <v>1047</v>
      </c>
    </row>
    <row r="33" spans="1:21">
      <c r="A33" s="1733"/>
      <c r="B33" s="1733"/>
      <c r="C33" s="1733"/>
      <c r="D33" s="1733"/>
      <c r="E33" s="1733"/>
      <c r="F33" s="1733"/>
      <c r="G33" s="1733"/>
      <c r="H33" s="1733"/>
      <c r="I33" s="1725" t="s">
        <v>1053</v>
      </c>
      <c r="J33" s="1725"/>
      <c r="K33" s="1725" t="s">
        <v>1054</v>
      </c>
      <c r="L33" s="1725"/>
      <c r="M33" s="1725" t="s">
        <v>20</v>
      </c>
      <c r="N33" s="1725"/>
      <c r="O33" s="1724"/>
      <c r="P33" s="1724"/>
      <c r="Q33" s="1724"/>
      <c r="R33" s="1724"/>
      <c r="S33" s="1724"/>
      <c r="T33" s="1724"/>
      <c r="U33" s="1724"/>
    </row>
    <row r="34" spans="1:21">
      <c r="A34" s="1726"/>
      <c r="B34" s="1726"/>
      <c r="C34" s="1726"/>
      <c r="D34" s="1726"/>
      <c r="E34" s="1726"/>
      <c r="F34" s="1726"/>
      <c r="G34" s="1726"/>
      <c r="H34" s="1726"/>
      <c r="I34" s="1727"/>
      <c r="J34" s="1728"/>
      <c r="K34" s="1729"/>
      <c r="L34" s="1729"/>
      <c r="M34" s="1730"/>
      <c r="N34" s="1730"/>
      <c r="O34" s="1731"/>
      <c r="P34" s="1731"/>
      <c r="Q34" s="1731"/>
      <c r="R34" s="1732"/>
      <c r="S34" s="1732"/>
      <c r="T34" s="1732"/>
      <c r="U34" s="1076"/>
    </row>
    <row r="35" spans="1:21">
      <c r="A35" s="1717"/>
      <c r="B35" s="1718"/>
      <c r="C35" s="1718"/>
      <c r="D35" s="1718"/>
      <c r="E35" s="1718"/>
      <c r="F35" s="1718"/>
      <c r="G35" s="1718"/>
      <c r="H35" s="1719"/>
      <c r="I35" s="1720"/>
      <c r="J35" s="1720"/>
      <c r="K35" s="1721"/>
      <c r="L35" s="1721"/>
      <c r="M35" s="1721"/>
      <c r="N35" s="1721"/>
      <c r="O35" s="1722"/>
      <c r="P35" s="1722"/>
      <c r="Q35" s="1722"/>
      <c r="R35" s="1723"/>
      <c r="S35" s="1723"/>
      <c r="T35" s="1723"/>
      <c r="U35" s="1077"/>
    </row>
    <row r="36" spans="1:21">
      <c r="A36" s="1713"/>
      <c r="B36" s="1713"/>
      <c r="C36" s="1713"/>
      <c r="D36" s="1713"/>
      <c r="E36" s="1713"/>
      <c r="F36" s="1713"/>
      <c r="G36" s="1713"/>
      <c r="H36" s="1713"/>
      <c r="I36" s="1714"/>
      <c r="J36" s="1714"/>
      <c r="K36" s="1714"/>
      <c r="L36" s="1714"/>
      <c r="M36" s="1714"/>
      <c r="N36" s="1714"/>
      <c r="O36" s="1715"/>
      <c r="P36" s="1715"/>
      <c r="Q36" s="1715"/>
      <c r="R36" s="1716"/>
      <c r="S36" s="1716"/>
      <c r="T36" s="1716"/>
      <c r="U36" s="1077">
        <f>INT((M36*O36*R36)*100)/100</f>
        <v>0</v>
      </c>
    </row>
    <row r="37" spans="1:21">
      <c r="A37" s="1709"/>
      <c r="B37" s="1709"/>
      <c r="C37" s="1709"/>
      <c r="D37" s="1709"/>
      <c r="E37" s="1709"/>
      <c r="F37" s="1709"/>
      <c r="G37" s="1709"/>
      <c r="H37" s="1709"/>
      <c r="I37" s="1710"/>
      <c r="J37" s="1710"/>
      <c r="K37" s="1710"/>
      <c r="L37" s="1710"/>
      <c r="M37" s="1710"/>
      <c r="N37" s="1710"/>
      <c r="O37" s="1711"/>
      <c r="P37" s="1711"/>
      <c r="Q37" s="1711"/>
      <c r="R37" s="1712"/>
      <c r="S37" s="1712"/>
      <c r="T37" s="1712"/>
      <c r="U37" s="1078">
        <f>INT((M37*O37*R37)*100)/100</f>
        <v>0</v>
      </c>
    </row>
    <row r="38" spans="1:21">
      <c r="A38" s="1802"/>
      <c r="B38" s="1802"/>
      <c r="C38" s="1802"/>
      <c r="D38" s="1802"/>
      <c r="E38" s="1802"/>
      <c r="F38" s="1802"/>
      <c r="G38" s="1802"/>
      <c r="H38" s="1802"/>
      <c r="I38" s="1802"/>
      <c r="J38" s="1802"/>
      <c r="K38" s="1802"/>
      <c r="L38" s="1802"/>
      <c r="M38" s="1802"/>
      <c r="N38" s="1802"/>
      <c r="O38" s="1802"/>
      <c r="P38" s="1802"/>
      <c r="Q38" s="1802"/>
      <c r="R38" s="1704" t="s">
        <v>1055</v>
      </c>
      <c r="S38" s="1704"/>
      <c r="T38" s="1704"/>
      <c r="U38" s="1079">
        <f>SUM(U34:U37)</f>
        <v>0</v>
      </c>
    </row>
    <row r="39" spans="1:21">
      <c r="A39" s="1803"/>
      <c r="B39" s="1803"/>
      <c r="C39" s="1803"/>
      <c r="D39" s="1803"/>
      <c r="E39" s="1803"/>
      <c r="F39" s="1803"/>
      <c r="G39" s="1803"/>
      <c r="H39" s="1803"/>
      <c r="I39" s="1803"/>
      <c r="J39" s="1803"/>
      <c r="K39" s="1803"/>
      <c r="L39" s="1803"/>
      <c r="M39" s="1803"/>
      <c r="N39" s="1803"/>
      <c r="O39" s="1803"/>
      <c r="P39" s="1803"/>
      <c r="Q39" s="1803"/>
      <c r="R39" s="1803"/>
      <c r="S39" s="1803"/>
      <c r="T39" s="1803"/>
      <c r="U39" s="1803"/>
    </row>
    <row r="40" spans="1:21">
      <c r="A40" s="1706" t="s">
        <v>1056</v>
      </c>
      <c r="B40" s="1706"/>
      <c r="C40" s="1706"/>
      <c r="D40" s="1706"/>
      <c r="E40" s="1706"/>
      <c r="F40" s="1706"/>
      <c r="G40" s="1706"/>
      <c r="H40" s="1706"/>
      <c r="I40" s="1706"/>
      <c r="J40" s="1706"/>
      <c r="K40" s="1706"/>
      <c r="L40" s="1706"/>
      <c r="M40" s="1706"/>
      <c r="N40" s="1706"/>
      <c r="O40" s="1706"/>
      <c r="P40" s="1706"/>
      <c r="Q40" s="1706"/>
      <c r="R40" s="1706"/>
      <c r="S40" s="1706"/>
      <c r="T40" s="1706"/>
      <c r="U40" s="1080">
        <f>SUM(U23,U31,U38)</f>
        <v>15.482837499999999</v>
      </c>
    </row>
    <row r="41" spans="1:21">
      <c r="A41" s="1081" t="s">
        <v>1057</v>
      </c>
      <c r="B41" s="1082"/>
      <c r="C41" s="1082"/>
      <c r="D41" s="1082"/>
      <c r="E41" s="1082"/>
      <c r="F41" s="1082"/>
      <c r="G41" s="1082"/>
      <c r="H41" s="1083" t="s">
        <v>1058</v>
      </c>
      <c r="I41" s="1707">
        <v>0</v>
      </c>
      <c r="J41" s="1707"/>
      <c r="K41" s="1082" t="s">
        <v>1059</v>
      </c>
      <c r="L41" s="1082"/>
      <c r="M41" s="1082"/>
      <c r="N41" s="1082"/>
      <c r="O41" s="1082"/>
      <c r="P41" s="1082"/>
      <c r="Q41" s="1082"/>
      <c r="R41" s="1082"/>
      <c r="S41" s="1082"/>
      <c r="T41" s="1082"/>
      <c r="U41" s="1084">
        <f>TRUNC((U40*I41),2)</f>
        <v>0</v>
      </c>
    </row>
    <row r="42" spans="1:21" ht="18.75">
      <c r="A42" s="1708" t="s">
        <v>1060</v>
      </c>
      <c r="B42" s="1708"/>
      <c r="C42" s="1708"/>
      <c r="D42" s="1708"/>
      <c r="E42" s="1708"/>
      <c r="F42" s="1708"/>
      <c r="G42" s="1708"/>
      <c r="H42" s="1708"/>
      <c r="I42" s="1708"/>
      <c r="J42" s="1708"/>
      <c r="K42" s="1708"/>
      <c r="L42" s="1708"/>
      <c r="M42" s="1708"/>
      <c r="N42" s="1708"/>
      <c r="O42" s="1708"/>
      <c r="P42" s="1708"/>
      <c r="Q42" s="1708"/>
      <c r="R42" s="1708"/>
      <c r="S42" s="1708"/>
      <c r="T42" s="1708"/>
      <c r="U42" s="1084">
        <f>TRUNC((U41+U40),2)</f>
        <v>15.48</v>
      </c>
    </row>
  </sheetData>
  <mergeCells count="160">
    <mergeCell ref="A1:T1"/>
    <mergeCell ref="A2:E2"/>
    <mergeCell ref="F2:T2"/>
    <mergeCell ref="A3:E3"/>
    <mergeCell ref="F3:T3"/>
    <mergeCell ref="A4:J5"/>
    <mergeCell ref="K4:L5"/>
    <mergeCell ref="M4:P4"/>
    <mergeCell ref="Q4:T4"/>
    <mergeCell ref="U4:U5"/>
    <mergeCell ref="M5:N5"/>
    <mergeCell ref="O5:P5"/>
    <mergeCell ref="Q5:R5"/>
    <mergeCell ref="S5:T5"/>
    <mergeCell ref="A6:J6"/>
    <mergeCell ref="K6:L6"/>
    <mergeCell ref="M6:N6"/>
    <mergeCell ref="O6:P6"/>
    <mergeCell ref="Q6:R6"/>
    <mergeCell ref="A8:J8"/>
    <mergeCell ref="K8:L8"/>
    <mergeCell ref="M8:N8"/>
    <mergeCell ref="O8:P8"/>
    <mergeCell ref="Q8:R8"/>
    <mergeCell ref="S8:T8"/>
    <mergeCell ref="S6:T6"/>
    <mergeCell ref="A7:J7"/>
    <mergeCell ref="K7:L7"/>
    <mergeCell ref="M7:N7"/>
    <mergeCell ref="O7:P7"/>
    <mergeCell ref="Q7:R7"/>
    <mergeCell ref="S7:T7"/>
    <mergeCell ref="A10:J10"/>
    <mergeCell ref="K10:L10"/>
    <mergeCell ref="M10:N10"/>
    <mergeCell ref="O10:P10"/>
    <mergeCell ref="Q10:R10"/>
    <mergeCell ref="S10:T10"/>
    <mergeCell ref="A9:J9"/>
    <mergeCell ref="K9:L9"/>
    <mergeCell ref="M9:N9"/>
    <mergeCell ref="O9:P9"/>
    <mergeCell ref="Q9:R9"/>
    <mergeCell ref="S9:T9"/>
    <mergeCell ref="A12:J12"/>
    <mergeCell ref="K12:L12"/>
    <mergeCell ref="M12:N12"/>
    <mergeCell ref="O12:P12"/>
    <mergeCell ref="Q12:R12"/>
    <mergeCell ref="S12:T12"/>
    <mergeCell ref="A11:J11"/>
    <mergeCell ref="K11:L11"/>
    <mergeCell ref="M11:N11"/>
    <mergeCell ref="O11:P11"/>
    <mergeCell ref="Q11:R11"/>
    <mergeCell ref="S11:T11"/>
    <mergeCell ref="A14:J14"/>
    <mergeCell ref="K14:L14"/>
    <mergeCell ref="M14:N14"/>
    <mergeCell ref="O14:P14"/>
    <mergeCell ref="Q14:R14"/>
    <mergeCell ref="S14:T14"/>
    <mergeCell ref="A13:J13"/>
    <mergeCell ref="K13:L13"/>
    <mergeCell ref="M13:N13"/>
    <mergeCell ref="O13:P13"/>
    <mergeCell ref="Q13:R13"/>
    <mergeCell ref="S13:T13"/>
    <mergeCell ref="A18:N18"/>
    <mergeCell ref="O18:Q18"/>
    <mergeCell ref="R18:T18"/>
    <mergeCell ref="A19:N19"/>
    <mergeCell ref="O19:Q19"/>
    <mergeCell ref="R19:T19"/>
    <mergeCell ref="A15:Q15"/>
    <mergeCell ref="R15:T15"/>
    <mergeCell ref="A16:N16"/>
    <mergeCell ref="O16:Q16"/>
    <mergeCell ref="R16:T16"/>
    <mergeCell ref="A17:N17"/>
    <mergeCell ref="O17:Q17"/>
    <mergeCell ref="R17:T17"/>
    <mergeCell ref="A23:C23"/>
    <mergeCell ref="D23:T23"/>
    <mergeCell ref="A24:L24"/>
    <mergeCell ref="M24:N24"/>
    <mergeCell ref="O24:Q24"/>
    <mergeCell ref="R24:T24"/>
    <mergeCell ref="A20:N20"/>
    <mergeCell ref="O20:Q20"/>
    <mergeCell ref="R20:T20"/>
    <mergeCell ref="A21:Q21"/>
    <mergeCell ref="R21:T21"/>
    <mergeCell ref="A22:I22"/>
    <mergeCell ref="J22:L22"/>
    <mergeCell ref="M22:T22"/>
    <mergeCell ref="A27:L27"/>
    <mergeCell ref="M27:N27"/>
    <mergeCell ref="O27:Q27"/>
    <mergeCell ref="R27:T27"/>
    <mergeCell ref="A28:L28"/>
    <mergeCell ref="M28:N28"/>
    <mergeCell ref="O28:Q28"/>
    <mergeCell ref="R28:T28"/>
    <mergeCell ref="A25:L25"/>
    <mergeCell ref="M25:N25"/>
    <mergeCell ref="O25:Q25"/>
    <mergeCell ref="R25:T25"/>
    <mergeCell ref="A26:L26"/>
    <mergeCell ref="M26:N26"/>
    <mergeCell ref="O26:Q26"/>
    <mergeCell ref="R26:T26"/>
    <mergeCell ref="A31:Q31"/>
    <mergeCell ref="R31:T31"/>
    <mergeCell ref="A32:H33"/>
    <mergeCell ref="I32:N32"/>
    <mergeCell ref="O32:Q33"/>
    <mergeCell ref="R32:T33"/>
    <mergeCell ref="A29:L29"/>
    <mergeCell ref="M29:N29"/>
    <mergeCell ref="O29:Q29"/>
    <mergeCell ref="R29:T29"/>
    <mergeCell ref="A30:L30"/>
    <mergeCell ref="M30:N30"/>
    <mergeCell ref="O30:Q30"/>
    <mergeCell ref="R30:T30"/>
    <mergeCell ref="U32:U33"/>
    <mergeCell ref="I33:J33"/>
    <mergeCell ref="K33:L33"/>
    <mergeCell ref="M33:N33"/>
    <mergeCell ref="A34:H34"/>
    <mergeCell ref="I34:J34"/>
    <mergeCell ref="K34:L34"/>
    <mergeCell ref="M34:N34"/>
    <mergeCell ref="O34:Q34"/>
    <mergeCell ref="R34:T34"/>
    <mergeCell ref="A36:H36"/>
    <mergeCell ref="I36:J36"/>
    <mergeCell ref="K36:L36"/>
    <mergeCell ref="M36:N36"/>
    <mergeCell ref="O36:Q36"/>
    <mergeCell ref="R36:T36"/>
    <mergeCell ref="A35:H35"/>
    <mergeCell ref="I35:J35"/>
    <mergeCell ref="K35:L35"/>
    <mergeCell ref="M35:N35"/>
    <mergeCell ref="O35:Q35"/>
    <mergeCell ref="R35:T35"/>
    <mergeCell ref="A38:Q38"/>
    <mergeCell ref="R38:T38"/>
    <mergeCell ref="A39:U39"/>
    <mergeCell ref="A40:T40"/>
    <mergeCell ref="I41:J41"/>
    <mergeCell ref="A42:T42"/>
    <mergeCell ref="A37:H37"/>
    <mergeCell ref="I37:J37"/>
    <mergeCell ref="K37:L37"/>
    <mergeCell ref="M37:N37"/>
    <mergeCell ref="O37:Q37"/>
    <mergeCell ref="R37:T37"/>
  </mergeCells>
  <conditionalFormatting sqref="O7:P11 O13:P13">
    <cfRule type="cellIs" dxfId="2" priority="3" stopIfTrue="1" operator="equal">
      <formula>1</formula>
    </cfRule>
  </conditionalFormatting>
  <conditionalFormatting sqref="O6:P6">
    <cfRule type="cellIs" dxfId="1" priority="2" stopIfTrue="1" operator="equal">
      <formula>1</formula>
    </cfRule>
  </conditionalFormatting>
  <conditionalFormatting sqref="O12:P12">
    <cfRule type="cellIs" dxfId="0" priority="1" stopIfTrue="1" operator="equal">
      <formula>1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tabColor rgb="FFFF0000"/>
  </sheetPr>
  <dimension ref="A1:R33"/>
  <sheetViews>
    <sheetView zoomScaleSheetLayoutView="105" workbookViewId="0">
      <selection activeCell="C36" sqref="C36"/>
    </sheetView>
  </sheetViews>
  <sheetFormatPr defaultRowHeight="12.75"/>
  <cols>
    <col min="1" max="1" width="10.42578125" style="105" customWidth="1"/>
    <col min="2" max="2" width="2.5703125" style="105" customWidth="1"/>
    <col min="3" max="3" width="8.5703125" style="105" customWidth="1"/>
    <col min="4" max="4" width="8" style="150" customWidth="1"/>
    <col min="5" max="5" width="2.28515625" style="105" customWidth="1"/>
    <col min="6" max="6" width="10.140625" style="105" customWidth="1"/>
    <col min="7" max="7" width="12.85546875" style="105" customWidth="1"/>
    <col min="8" max="8" width="13" style="105" customWidth="1"/>
    <col min="9" max="9" width="18.140625" style="105" customWidth="1"/>
    <col min="10" max="10" width="46.42578125" style="105" customWidth="1"/>
    <col min="11" max="16384" width="9.140625" style="105"/>
  </cols>
  <sheetData>
    <row r="1" spans="1:18" ht="20.100000000000001" customHeight="1" thickTop="1">
      <c r="A1" s="100"/>
      <c r="B1" s="101" t="s">
        <v>99</v>
      </c>
      <c r="C1" s="102"/>
      <c r="D1" s="102"/>
      <c r="E1" s="102"/>
      <c r="F1" s="102"/>
      <c r="G1" s="102"/>
      <c r="H1" s="102"/>
      <c r="I1" s="103"/>
      <c r="J1" s="104"/>
    </row>
    <row r="2" spans="1:18" ht="20.100000000000001" customHeight="1">
      <c r="A2" s="106"/>
      <c r="B2" s="107"/>
      <c r="C2" s="108"/>
      <c r="D2" s="109"/>
      <c r="E2" s="109"/>
      <c r="F2" s="109"/>
      <c r="G2" s="109"/>
      <c r="H2" s="109"/>
      <c r="I2" s="110"/>
      <c r="J2" s="111"/>
    </row>
    <row r="3" spans="1:18" ht="20.100000000000001" customHeight="1" thickBot="1">
      <c r="A3" s="112"/>
      <c r="B3" s="113"/>
      <c r="C3" s="114"/>
      <c r="D3" s="114"/>
      <c r="E3" s="114"/>
      <c r="F3" s="114"/>
      <c r="G3" s="114"/>
      <c r="H3" s="114"/>
      <c r="I3" s="115"/>
      <c r="J3" s="116"/>
    </row>
    <row r="4" spans="1:18" ht="13.5" customHeight="1" thickTop="1">
      <c r="A4" s="117" t="s">
        <v>87</v>
      </c>
      <c r="B4" s="1137" t="s">
        <v>98</v>
      </c>
      <c r="C4" s="1137"/>
      <c r="D4" s="1137"/>
      <c r="E4" s="1137"/>
      <c r="F4" s="1137"/>
      <c r="G4" s="1137"/>
      <c r="H4" s="1137"/>
      <c r="I4" s="1137"/>
      <c r="J4" s="118"/>
      <c r="K4" s="119"/>
      <c r="L4" s="119"/>
      <c r="M4" s="119"/>
      <c r="N4" s="119"/>
      <c r="O4" s="119"/>
      <c r="P4" s="119"/>
      <c r="Q4" s="119"/>
      <c r="R4" s="119"/>
    </row>
    <row r="5" spans="1:18" ht="12.75" customHeight="1">
      <c r="A5" s="120" t="s">
        <v>100</v>
      </c>
      <c r="B5" s="1138"/>
      <c r="C5" s="1138"/>
      <c r="D5" s="1138"/>
      <c r="E5" s="1138"/>
      <c r="F5" s="1138"/>
      <c r="G5" s="1138"/>
      <c r="H5" s="1138"/>
      <c r="I5" s="1138"/>
      <c r="J5" s="122"/>
      <c r="K5" s="123"/>
      <c r="L5" s="123"/>
      <c r="M5" s="123"/>
      <c r="N5" s="123"/>
      <c r="O5" s="123"/>
      <c r="P5" s="123"/>
      <c r="Q5" s="123"/>
      <c r="R5" s="123"/>
    </row>
    <row r="6" spans="1:18" ht="15" customHeight="1">
      <c r="A6" s="120" t="s">
        <v>89</v>
      </c>
      <c r="B6" s="121"/>
      <c r="C6" s="121"/>
      <c r="D6" s="121"/>
      <c r="E6" s="121"/>
      <c r="F6" s="121"/>
      <c r="G6" s="121"/>
      <c r="H6" s="121"/>
      <c r="I6" s="121"/>
      <c r="J6" s="122"/>
      <c r="K6" s="123"/>
      <c r="L6" s="123"/>
      <c r="M6" s="123"/>
      <c r="N6" s="123"/>
      <c r="O6" s="123"/>
      <c r="P6" s="123"/>
      <c r="Q6" s="123"/>
      <c r="R6" s="123"/>
    </row>
    <row r="7" spans="1:18" ht="13.5" customHeight="1" thickBot="1">
      <c r="A7" s="120" t="s">
        <v>91</v>
      </c>
      <c r="B7" s="124"/>
      <c r="C7" s="124"/>
      <c r="D7" s="124"/>
      <c r="E7" s="124"/>
      <c r="F7" s="124"/>
      <c r="G7" s="124"/>
      <c r="H7" s="124"/>
      <c r="I7" s="124"/>
      <c r="J7" s="125"/>
      <c r="K7" s="126"/>
      <c r="L7" s="126"/>
      <c r="M7" s="126"/>
      <c r="N7" s="126"/>
      <c r="O7" s="126"/>
      <c r="P7" s="126"/>
      <c r="Q7" s="126"/>
      <c r="R7" s="126"/>
    </row>
    <row r="8" spans="1:18" ht="24.95" customHeight="1" thickTop="1" thickBot="1">
      <c r="A8" s="1139" t="s">
        <v>101</v>
      </c>
      <c r="B8" s="1140"/>
      <c r="C8" s="1140"/>
      <c r="D8" s="1140"/>
      <c r="E8" s="1140"/>
      <c r="F8" s="1140"/>
      <c r="G8" s="1140"/>
      <c r="H8" s="1140"/>
      <c r="I8" s="1140"/>
      <c r="J8" s="1141"/>
    </row>
    <row r="9" spans="1:18" ht="15" customHeight="1" thickTop="1">
      <c r="A9" s="127" t="s">
        <v>102</v>
      </c>
      <c r="B9" s="127"/>
      <c r="C9" s="127"/>
      <c r="D9" s="127"/>
      <c r="E9" s="127"/>
      <c r="F9" s="127"/>
      <c r="G9" s="128" t="s">
        <v>103</v>
      </c>
      <c r="H9" s="128" t="s">
        <v>104</v>
      </c>
      <c r="I9" s="128" t="s">
        <v>105</v>
      </c>
      <c r="J9" s="1142" t="s">
        <v>106</v>
      </c>
    </row>
    <row r="10" spans="1:18" ht="15" customHeight="1" thickBot="1">
      <c r="A10" s="129" t="s">
        <v>107</v>
      </c>
      <c r="B10" s="130"/>
      <c r="C10" s="131" t="s">
        <v>108</v>
      </c>
      <c r="D10" s="129" t="s">
        <v>109</v>
      </c>
      <c r="E10" s="130"/>
      <c r="F10" s="131" t="s">
        <v>108</v>
      </c>
      <c r="G10" s="132" t="s">
        <v>110</v>
      </c>
      <c r="H10" s="132" t="s">
        <v>110</v>
      </c>
      <c r="I10" s="132" t="s">
        <v>111</v>
      </c>
      <c r="J10" s="1143"/>
    </row>
    <row r="11" spans="1:18" ht="15" customHeight="1" thickTop="1">
      <c r="A11" s="1133"/>
      <c r="B11" s="1134"/>
      <c r="C11" s="1134"/>
      <c r="D11" s="1134"/>
      <c r="E11" s="1134"/>
      <c r="F11" s="1134"/>
      <c r="G11" s="1134"/>
      <c r="H11" s="1134"/>
      <c r="I11" s="133"/>
      <c r="J11" s="134"/>
    </row>
    <row r="12" spans="1:18" ht="15" customHeight="1">
      <c r="A12" s="135">
        <v>2650</v>
      </c>
      <c r="B12" s="136" t="s">
        <v>112</v>
      </c>
      <c r="C12" s="137">
        <v>0</v>
      </c>
      <c r="D12" s="138">
        <v>3795</v>
      </c>
      <c r="E12" s="136" t="s">
        <v>112</v>
      </c>
      <c r="F12" s="137">
        <v>7.39</v>
      </c>
      <c r="G12" s="137">
        <f>(D12-A12)*20</f>
        <v>22900</v>
      </c>
      <c r="H12" s="137">
        <v>14</v>
      </c>
      <c r="I12" s="139">
        <f>IF(H12=0,"",ROUNDDOWN(G12*H12,3))</f>
        <v>320600</v>
      </c>
      <c r="J12" s="140"/>
    </row>
    <row r="13" spans="1:18" ht="15" customHeight="1">
      <c r="A13" s="135">
        <v>3900</v>
      </c>
      <c r="B13" s="136" t="s">
        <v>112</v>
      </c>
      <c r="C13" s="137">
        <v>0</v>
      </c>
      <c r="D13" s="138">
        <v>5130</v>
      </c>
      <c r="E13" s="136" t="s">
        <v>112</v>
      </c>
      <c r="F13" s="137">
        <v>0</v>
      </c>
      <c r="G13" s="137">
        <f>(D13-A13)*20</f>
        <v>24600</v>
      </c>
      <c r="H13" s="137">
        <v>14</v>
      </c>
      <c r="I13" s="139">
        <f>IF(H13=0,"",ROUNDDOWN(G13*H13,3))</f>
        <v>344400</v>
      </c>
      <c r="J13" s="140"/>
    </row>
    <row r="14" spans="1:18" ht="15" customHeight="1">
      <c r="A14" s="135"/>
      <c r="B14" s="136"/>
      <c r="C14" s="137"/>
      <c r="D14" s="138"/>
      <c r="E14" s="136"/>
      <c r="F14" s="137"/>
      <c r="G14" s="137"/>
      <c r="H14" s="137"/>
      <c r="I14" s="139"/>
      <c r="J14" s="141"/>
    </row>
    <row r="15" spans="1:18" ht="15" customHeight="1">
      <c r="A15" s="135"/>
      <c r="B15" s="136"/>
      <c r="C15" s="137"/>
      <c r="D15" s="138"/>
      <c r="E15" s="136"/>
      <c r="F15" s="137"/>
      <c r="G15" s="137"/>
      <c r="H15" s="142"/>
      <c r="I15" s="139"/>
      <c r="J15" s="140"/>
    </row>
    <row r="16" spans="1:18" ht="15" customHeight="1">
      <c r="A16" s="135"/>
      <c r="B16" s="136"/>
      <c r="C16" s="137"/>
      <c r="D16" s="138"/>
      <c r="E16" s="136"/>
      <c r="F16" s="137"/>
      <c r="G16" s="137"/>
      <c r="H16" s="137"/>
      <c r="I16" s="139"/>
      <c r="J16" s="141"/>
    </row>
    <row r="17" spans="1:10" ht="15" customHeight="1">
      <c r="A17" s="135"/>
      <c r="B17" s="136"/>
      <c r="C17" s="137"/>
      <c r="D17" s="138"/>
      <c r="E17" s="136"/>
      <c r="F17" s="137"/>
      <c r="G17" s="137"/>
      <c r="H17" s="137"/>
      <c r="I17" s="139"/>
      <c r="J17" s="140"/>
    </row>
    <row r="18" spans="1:10" ht="15" customHeight="1">
      <c r="A18" s="135"/>
      <c r="B18" s="136"/>
      <c r="C18" s="137"/>
      <c r="D18" s="138"/>
      <c r="E18" s="136"/>
      <c r="F18" s="137"/>
      <c r="G18" s="137"/>
      <c r="H18" s="137"/>
      <c r="I18" s="139"/>
      <c r="J18" s="140"/>
    </row>
    <row r="19" spans="1:10" ht="15" customHeight="1">
      <c r="A19" s="135"/>
      <c r="B19" s="136"/>
      <c r="C19" s="137"/>
      <c r="D19" s="138"/>
      <c r="E19" s="136"/>
      <c r="F19" s="137"/>
      <c r="G19" s="143"/>
      <c r="H19" s="142"/>
      <c r="I19" s="138"/>
      <c r="J19" s="140"/>
    </row>
    <row r="20" spans="1:10" ht="15" customHeight="1">
      <c r="A20" s="135"/>
      <c r="B20" s="136"/>
      <c r="C20" s="137"/>
      <c r="D20" s="138"/>
      <c r="E20" s="136"/>
      <c r="F20" s="137"/>
      <c r="G20" s="143"/>
      <c r="H20" s="142"/>
      <c r="I20" s="138"/>
      <c r="J20" s="140"/>
    </row>
    <row r="21" spans="1:10" ht="15" customHeight="1">
      <c r="A21" s="135"/>
      <c r="B21" s="136"/>
      <c r="C21" s="137"/>
      <c r="D21" s="138"/>
      <c r="E21" s="136"/>
      <c r="F21" s="137"/>
      <c r="G21" s="143"/>
      <c r="H21" s="142"/>
      <c r="I21" s="138"/>
      <c r="J21" s="140"/>
    </row>
    <row r="22" spans="1:10" ht="15" customHeight="1">
      <c r="A22" s="135"/>
      <c r="B22" s="136"/>
      <c r="C22" s="137"/>
      <c r="D22" s="138"/>
      <c r="E22" s="136"/>
      <c r="F22" s="137"/>
      <c r="G22" s="143"/>
      <c r="H22" s="142"/>
      <c r="I22" s="138"/>
      <c r="J22" s="140"/>
    </row>
    <row r="23" spans="1:10" ht="15" customHeight="1">
      <c r="A23" s="135"/>
      <c r="B23" s="136"/>
      <c r="C23" s="137"/>
      <c r="D23" s="138"/>
      <c r="E23" s="136"/>
      <c r="F23" s="137"/>
      <c r="G23" s="143"/>
      <c r="H23" s="142"/>
      <c r="I23" s="138"/>
      <c r="J23" s="140"/>
    </row>
    <row r="24" spans="1:10" ht="15" customHeight="1">
      <c r="A24" s="135"/>
      <c r="B24" s="136"/>
      <c r="C24" s="137"/>
      <c r="D24" s="138"/>
      <c r="E24" s="136"/>
      <c r="F24" s="137"/>
      <c r="G24" s="143"/>
      <c r="H24" s="142"/>
      <c r="I24" s="138"/>
      <c r="J24" s="140"/>
    </row>
    <row r="25" spans="1:10" ht="15" customHeight="1">
      <c r="A25" s="135"/>
      <c r="B25" s="136"/>
      <c r="C25" s="137"/>
      <c r="D25" s="138"/>
      <c r="E25" s="136"/>
      <c r="F25" s="137"/>
      <c r="G25" s="143" t="str">
        <f>IF(H25&gt;0,"+","")</f>
        <v/>
      </c>
      <c r="H25" s="137"/>
      <c r="I25" s="138"/>
      <c r="J25" s="140"/>
    </row>
    <row r="26" spans="1:10" ht="15" customHeight="1">
      <c r="A26" s="135"/>
      <c r="B26" s="136"/>
      <c r="C26" s="137"/>
      <c r="D26" s="138"/>
      <c r="E26" s="136"/>
      <c r="F26" s="137"/>
      <c r="G26" s="143" t="str">
        <f>IF(H26&gt;0,"+","")</f>
        <v/>
      </c>
      <c r="H26" s="137"/>
      <c r="I26" s="138"/>
      <c r="J26" s="140"/>
    </row>
    <row r="27" spans="1:10" ht="15" customHeight="1">
      <c r="A27" s="135"/>
      <c r="B27" s="136"/>
      <c r="C27" s="137"/>
      <c r="D27" s="138"/>
      <c r="E27" s="136"/>
      <c r="F27" s="137"/>
      <c r="G27" s="144"/>
      <c r="H27" s="145"/>
      <c r="I27" s="146"/>
      <c r="J27" s="147"/>
    </row>
    <row r="28" spans="1:10" ht="15" customHeight="1" thickBot="1">
      <c r="A28" s="1135" t="s">
        <v>20</v>
      </c>
      <c r="B28" s="1136"/>
      <c r="C28" s="1136"/>
      <c r="D28" s="1136"/>
      <c r="E28" s="1136"/>
      <c r="F28" s="1136"/>
      <c r="G28" s="1136"/>
      <c r="H28" s="1136"/>
      <c r="I28" s="148">
        <f>SUM(I11:I27)</f>
        <v>665000</v>
      </c>
      <c r="J28" s="149"/>
    </row>
    <row r="29" spans="1:10" ht="13.5" thickTop="1"/>
    <row r="31" spans="1:10">
      <c r="G31" s="151">
        <f>SUM(G12:G13)</f>
        <v>47500</v>
      </c>
    </row>
    <row r="32" spans="1:10">
      <c r="H32" s="105">
        <f>G27/1000</f>
        <v>0</v>
      </c>
    </row>
    <row r="33" spans="8:8">
      <c r="H33" s="105">
        <f>G31/1000</f>
        <v>47.5</v>
      </c>
    </row>
  </sheetData>
  <mergeCells count="6">
    <mergeCell ref="A11:H11"/>
    <mergeCell ref="A28:H28"/>
    <mergeCell ref="B4:I4"/>
    <mergeCell ref="B5:I5"/>
    <mergeCell ref="A8:J8"/>
    <mergeCell ref="J9:J10"/>
  </mergeCells>
  <phoneticPr fontId="0" type="noConversion"/>
  <printOptions horizontalCentered="1"/>
  <pageMargins left="0.47244094488188981" right="0.39370078740157483" top="1.2204724409448819" bottom="0.78740157480314965" header="0.31496062992125984" footer="0.31496062992125984"/>
  <pageSetup paperSize="9" scale="98" firstPageNumber="28" orientation="landscape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tabColor rgb="FFC00000"/>
  </sheetPr>
  <dimension ref="A1:Q34"/>
  <sheetViews>
    <sheetView zoomScaleSheetLayoutView="105" workbookViewId="0">
      <selection activeCell="A4" sqref="A4:B8"/>
    </sheetView>
  </sheetViews>
  <sheetFormatPr defaultRowHeight="12.75"/>
  <cols>
    <col min="1" max="1" width="11.28515625" style="105" customWidth="1"/>
    <col min="2" max="2" width="10" style="105" customWidth="1"/>
    <col min="3" max="3" width="6.85546875" style="105" customWidth="1"/>
    <col min="4" max="4" width="6" style="150" customWidth="1"/>
    <col min="5" max="5" width="2.28515625" style="105" customWidth="1"/>
    <col min="6" max="6" width="8.140625" style="105" customWidth="1"/>
    <col min="7" max="7" width="12.85546875" style="105" customWidth="1"/>
    <col min="8" max="8" width="11.28515625" style="105" customWidth="1"/>
    <col min="9" max="9" width="10.42578125" style="105" customWidth="1"/>
    <col min="10" max="10" width="11.5703125" style="105" customWidth="1"/>
    <col min="11" max="11" width="11" style="105" customWidth="1"/>
    <col min="12" max="12" width="9.85546875" style="105" customWidth="1"/>
    <col min="13" max="13" width="14.7109375" style="105" customWidth="1"/>
    <col min="14" max="14" width="25.42578125" style="105" customWidth="1"/>
    <col min="15" max="16384" width="9.140625" style="105"/>
  </cols>
  <sheetData>
    <row r="1" spans="1:17" ht="20.100000000000001" customHeight="1" thickTop="1">
      <c r="A1" s="100"/>
      <c r="B1" s="101" t="s">
        <v>99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3"/>
      <c r="N1" s="104"/>
    </row>
    <row r="2" spans="1:17" ht="20.100000000000001" customHeight="1">
      <c r="A2" s="106"/>
      <c r="B2" s="107"/>
      <c r="C2" s="108"/>
      <c r="D2" s="109"/>
      <c r="E2" s="109"/>
      <c r="F2" s="109"/>
      <c r="G2" s="109"/>
      <c r="H2" s="109"/>
      <c r="I2" s="109"/>
      <c r="J2" s="109"/>
      <c r="K2" s="109"/>
      <c r="L2" s="109"/>
      <c r="M2" s="110"/>
      <c r="N2" s="111"/>
    </row>
    <row r="3" spans="1:17" ht="20.100000000000001" customHeight="1" thickBot="1">
      <c r="A3" s="112"/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5"/>
      <c r="N3" s="116"/>
    </row>
    <row r="4" spans="1:17" s="156" customFormat="1" ht="12.95" customHeight="1" thickTop="1">
      <c r="A4" s="97" t="s">
        <v>87</v>
      </c>
      <c r="B4" s="81" t="s">
        <v>135</v>
      </c>
      <c r="C4" s="81"/>
      <c r="D4" s="155"/>
      <c r="E4" s="155"/>
      <c r="F4" s="110"/>
      <c r="G4" s="155"/>
      <c r="H4" s="152"/>
      <c r="J4" s="157"/>
      <c r="K4" s="158"/>
      <c r="L4" s="159"/>
      <c r="O4" s="224"/>
    </row>
    <row r="5" spans="1:17" s="156" customFormat="1" ht="12.95" customHeight="1">
      <c r="A5" s="97" t="s">
        <v>88</v>
      </c>
      <c r="B5" s="81" t="s">
        <v>195</v>
      </c>
      <c r="C5" s="81"/>
      <c r="D5" s="152"/>
      <c r="E5" s="152"/>
      <c r="F5" s="153"/>
      <c r="G5" s="154"/>
      <c r="H5" s="152"/>
      <c r="J5" s="157"/>
      <c r="K5" s="158"/>
      <c r="L5" s="159"/>
      <c r="O5" s="224"/>
    </row>
    <row r="6" spans="1:17" s="156" customFormat="1" ht="12.95" customHeight="1">
      <c r="A6" s="97" t="s">
        <v>196</v>
      </c>
      <c r="B6" s="81" t="s">
        <v>197</v>
      </c>
      <c r="C6" s="81"/>
      <c r="D6" s="152"/>
      <c r="E6" s="152"/>
      <c r="F6" s="153"/>
      <c r="G6" s="154"/>
      <c r="H6" s="152"/>
      <c r="J6" s="157"/>
      <c r="K6" s="158"/>
      <c r="L6" s="159"/>
      <c r="O6" s="224"/>
    </row>
    <row r="7" spans="1:17" s="156" customFormat="1" ht="12.95" customHeight="1">
      <c r="A7" s="97" t="s">
        <v>90</v>
      </c>
      <c r="B7" s="81" t="s">
        <v>198</v>
      </c>
      <c r="C7" s="81"/>
      <c r="D7" s="152"/>
      <c r="E7" s="152"/>
      <c r="F7" s="153"/>
      <c r="G7" s="154"/>
      <c r="H7" s="152"/>
      <c r="J7" s="157"/>
      <c r="K7" s="158"/>
      <c r="L7" s="159"/>
      <c r="O7" s="224"/>
    </row>
    <row r="8" spans="1:17" s="156" customFormat="1" ht="12.95" customHeight="1" thickBot="1">
      <c r="A8" s="223" t="s">
        <v>91</v>
      </c>
      <c r="B8" s="213" t="s">
        <v>199</v>
      </c>
      <c r="C8" s="213"/>
      <c r="D8" s="152"/>
      <c r="E8" s="152"/>
      <c r="F8" s="153"/>
      <c r="G8" s="154"/>
      <c r="H8" s="152"/>
      <c r="J8" s="157"/>
      <c r="K8" s="158"/>
      <c r="L8" s="159"/>
      <c r="O8" s="224"/>
    </row>
    <row r="9" spans="1:17" ht="24.95" customHeight="1" thickTop="1" thickBot="1">
      <c r="A9" s="1139" t="s">
        <v>117</v>
      </c>
      <c r="B9" s="1140"/>
      <c r="C9" s="1140"/>
      <c r="D9" s="1140"/>
      <c r="E9" s="1140"/>
      <c r="F9" s="1140"/>
      <c r="G9" s="1140"/>
      <c r="H9" s="1140"/>
      <c r="I9" s="1140"/>
      <c r="J9" s="1140"/>
      <c r="K9" s="1140"/>
      <c r="L9" s="1140"/>
      <c r="M9" s="1140"/>
      <c r="N9" s="1141"/>
    </row>
    <row r="10" spans="1:17" ht="15" customHeight="1" thickTop="1">
      <c r="A10" s="127" t="s">
        <v>102</v>
      </c>
      <c r="B10" s="127"/>
      <c r="C10" s="127"/>
      <c r="D10" s="127"/>
      <c r="E10" s="127"/>
      <c r="F10" s="127"/>
      <c r="G10" s="128" t="s">
        <v>103</v>
      </c>
      <c r="H10" s="128" t="s">
        <v>104</v>
      </c>
      <c r="I10" s="128" t="s">
        <v>105</v>
      </c>
      <c r="J10" s="128" t="s">
        <v>118</v>
      </c>
      <c r="K10" s="128" t="s">
        <v>119</v>
      </c>
      <c r="L10" s="128" t="s">
        <v>32</v>
      </c>
      <c r="M10" s="128" t="s">
        <v>120</v>
      </c>
      <c r="N10" s="1142" t="s">
        <v>106</v>
      </c>
    </row>
    <row r="11" spans="1:17" ht="15" customHeight="1" thickBot="1">
      <c r="A11" s="129" t="s">
        <v>107</v>
      </c>
      <c r="B11" s="130"/>
      <c r="C11" s="131" t="s">
        <v>108</v>
      </c>
      <c r="D11" s="129" t="s">
        <v>109</v>
      </c>
      <c r="E11" s="130"/>
      <c r="F11" s="131" t="s">
        <v>108</v>
      </c>
      <c r="G11" s="132" t="s">
        <v>110</v>
      </c>
      <c r="H11" s="132" t="s">
        <v>110</v>
      </c>
      <c r="I11" s="132" t="s">
        <v>121</v>
      </c>
      <c r="J11" s="132" t="s">
        <v>122</v>
      </c>
      <c r="K11" s="132" t="s">
        <v>122</v>
      </c>
      <c r="L11" s="132" t="s">
        <v>123</v>
      </c>
      <c r="M11" s="132" t="s">
        <v>124</v>
      </c>
      <c r="N11" s="1143"/>
      <c r="Q11" s="228"/>
    </row>
    <row r="12" spans="1:17" ht="15" customHeight="1" thickTop="1">
      <c r="A12" s="1146"/>
      <c r="B12" s="1147"/>
      <c r="C12" s="1147"/>
      <c r="D12" s="1147"/>
      <c r="E12" s="1147"/>
      <c r="F12" s="1147"/>
      <c r="G12" s="1147"/>
      <c r="H12" s="1147"/>
      <c r="I12" s="1147"/>
      <c r="J12" s="1147"/>
      <c r="K12" s="1147"/>
      <c r="L12" s="160"/>
      <c r="M12" s="161"/>
      <c r="N12" s="162"/>
    </row>
    <row r="13" spans="1:17" ht="15" customHeight="1">
      <c r="A13" s="163">
        <v>2650</v>
      </c>
      <c r="B13" s="136" t="s">
        <v>112</v>
      </c>
      <c r="C13" s="164">
        <v>0</v>
      </c>
      <c r="D13" s="165">
        <v>3795</v>
      </c>
      <c r="E13" s="136" t="s">
        <v>112</v>
      </c>
      <c r="F13" s="164">
        <v>7.39</v>
      </c>
      <c r="G13" s="164">
        <f>(D13-A13)*20</f>
        <v>22900</v>
      </c>
      <c r="H13" s="164">
        <v>7</v>
      </c>
      <c r="I13" s="164">
        <f>(G13*H13)</f>
        <v>160300</v>
      </c>
      <c r="J13" s="164"/>
      <c r="K13" s="164"/>
      <c r="L13" s="225"/>
      <c r="M13" s="230"/>
      <c r="N13" s="140"/>
    </row>
    <row r="14" spans="1:17" ht="15" customHeight="1">
      <c r="A14" s="163">
        <v>3900</v>
      </c>
      <c r="B14" s="136" t="s">
        <v>112</v>
      </c>
      <c r="C14" s="164">
        <v>0</v>
      </c>
      <c r="D14" s="165">
        <v>5130</v>
      </c>
      <c r="E14" s="136" t="s">
        <v>112</v>
      </c>
      <c r="F14" s="164">
        <v>0</v>
      </c>
      <c r="G14" s="164">
        <f>(D14-A14)*20</f>
        <v>24600</v>
      </c>
      <c r="H14" s="164">
        <v>7</v>
      </c>
      <c r="I14" s="164">
        <f>(G14*H14)</f>
        <v>172200</v>
      </c>
      <c r="J14" s="164"/>
      <c r="K14" s="164"/>
      <c r="L14" s="229"/>
      <c r="M14" s="227"/>
      <c r="N14" s="140"/>
    </row>
    <row r="15" spans="1:17" ht="15" customHeight="1">
      <c r="A15" s="163"/>
      <c r="B15" s="136"/>
      <c r="C15" s="164"/>
      <c r="D15" s="165"/>
      <c r="E15" s="136"/>
      <c r="F15" s="164"/>
      <c r="G15" s="164"/>
      <c r="H15" s="164"/>
      <c r="I15" s="164"/>
      <c r="J15" s="164"/>
      <c r="K15" s="164"/>
      <c r="L15" s="166"/>
      <c r="M15" s="165"/>
      <c r="N15" s="167"/>
      <c r="O15" s="226"/>
      <c r="P15" s="108"/>
    </row>
    <row r="16" spans="1:17" ht="15" customHeight="1">
      <c r="A16" s="163"/>
      <c r="B16" s="136"/>
      <c r="C16" s="164"/>
      <c r="D16" s="165"/>
      <c r="E16" s="136"/>
      <c r="F16" s="164"/>
      <c r="G16" s="164"/>
      <c r="H16" s="168"/>
      <c r="I16" s="168"/>
      <c r="J16" s="168"/>
      <c r="K16" s="168"/>
      <c r="L16" s="169"/>
      <c r="M16" s="165"/>
      <c r="N16" s="140"/>
    </row>
    <row r="17" spans="1:14" ht="15" customHeight="1">
      <c r="A17" s="163"/>
      <c r="B17" s="136"/>
      <c r="C17" s="164"/>
      <c r="D17" s="165"/>
      <c r="E17" s="136"/>
      <c r="F17" s="164"/>
      <c r="G17" s="164"/>
      <c r="H17" s="164"/>
      <c r="I17" s="164"/>
      <c r="J17" s="164"/>
      <c r="K17" s="164"/>
      <c r="L17" s="166"/>
      <c r="M17" s="165"/>
      <c r="N17" s="167"/>
    </row>
    <row r="18" spans="1:14" ht="15" customHeight="1">
      <c r="A18" s="163"/>
      <c r="B18" s="136"/>
      <c r="C18" s="164"/>
      <c r="D18" s="165"/>
      <c r="E18" s="136"/>
      <c r="F18" s="164"/>
      <c r="G18" s="164"/>
      <c r="H18" s="164"/>
      <c r="I18" s="164"/>
      <c r="J18" s="164"/>
      <c r="K18" s="164"/>
      <c r="L18" s="166"/>
      <c r="M18" s="165"/>
      <c r="N18" s="140"/>
    </row>
    <row r="19" spans="1:14" ht="15" customHeight="1">
      <c r="A19" s="163"/>
      <c r="B19" s="136"/>
      <c r="C19" s="164"/>
      <c r="D19" s="165"/>
      <c r="E19" s="136"/>
      <c r="F19" s="164"/>
      <c r="G19" s="164"/>
      <c r="H19" s="164"/>
      <c r="I19" s="164"/>
      <c r="J19" s="164"/>
      <c r="K19" s="164"/>
      <c r="L19" s="166"/>
      <c r="M19" s="165"/>
      <c r="N19" s="140"/>
    </row>
    <row r="20" spans="1:14" ht="15" customHeight="1">
      <c r="A20" s="163"/>
      <c r="B20" s="136"/>
      <c r="C20" s="164"/>
      <c r="D20" s="165"/>
      <c r="E20" s="136"/>
      <c r="F20" s="164"/>
      <c r="G20" s="143"/>
      <c r="H20" s="170"/>
      <c r="I20" s="170"/>
      <c r="J20" s="170"/>
      <c r="K20" s="168"/>
      <c r="L20" s="169"/>
      <c r="M20" s="165"/>
      <c r="N20" s="140"/>
    </row>
    <row r="21" spans="1:14" ht="15" customHeight="1">
      <c r="A21" s="163"/>
      <c r="B21" s="136"/>
      <c r="C21" s="164"/>
      <c r="D21" s="165"/>
      <c r="E21" s="136"/>
      <c r="F21" s="164"/>
      <c r="G21" s="143"/>
      <c r="H21" s="170"/>
      <c r="I21" s="170"/>
      <c r="J21" s="170"/>
      <c r="K21" s="168"/>
      <c r="L21" s="169"/>
      <c r="M21" s="165"/>
      <c r="N21" s="140"/>
    </row>
    <row r="22" spans="1:14" ht="15" customHeight="1">
      <c r="A22" s="163"/>
      <c r="B22" s="136"/>
      <c r="C22" s="164"/>
      <c r="D22" s="165"/>
      <c r="E22" s="136"/>
      <c r="F22" s="164"/>
      <c r="G22" s="143"/>
      <c r="H22" s="170"/>
      <c r="I22" s="170"/>
      <c r="J22" s="170"/>
      <c r="K22" s="168"/>
      <c r="L22" s="169"/>
      <c r="M22" s="165"/>
      <c r="N22" s="140"/>
    </row>
    <row r="23" spans="1:14" ht="15" customHeight="1">
      <c r="A23" s="163"/>
      <c r="B23" s="136"/>
      <c r="C23" s="164"/>
      <c r="D23" s="165"/>
      <c r="E23" s="136"/>
      <c r="F23" s="164"/>
      <c r="G23" s="143"/>
      <c r="H23" s="170"/>
      <c r="I23" s="170"/>
      <c r="J23" s="170"/>
      <c r="K23" s="168"/>
      <c r="L23" s="169"/>
      <c r="M23" s="165"/>
      <c r="N23" s="140"/>
    </row>
    <row r="24" spans="1:14" ht="15" customHeight="1">
      <c r="A24" s="163"/>
      <c r="B24" s="136"/>
      <c r="C24" s="164"/>
      <c r="D24" s="165"/>
      <c r="E24" s="136"/>
      <c r="F24" s="164"/>
      <c r="G24" s="143"/>
      <c r="H24" s="170"/>
      <c r="I24" s="170"/>
      <c r="J24" s="170"/>
      <c r="K24" s="168"/>
      <c r="L24" s="169"/>
      <c r="M24" s="165"/>
      <c r="N24" s="140"/>
    </row>
    <row r="25" spans="1:14" ht="15" customHeight="1">
      <c r="A25" s="163"/>
      <c r="B25" s="136"/>
      <c r="C25" s="164"/>
      <c r="D25" s="165"/>
      <c r="E25" s="136"/>
      <c r="F25" s="164"/>
      <c r="G25" s="143"/>
      <c r="H25" s="170"/>
      <c r="I25" s="170"/>
      <c r="J25" s="170"/>
      <c r="K25" s="168"/>
      <c r="L25" s="169"/>
      <c r="M25" s="165"/>
      <c r="N25" s="140"/>
    </row>
    <row r="26" spans="1:14" ht="15" customHeight="1">
      <c r="A26" s="163"/>
      <c r="B26" s="136"/>
      <c r="C26" s="164"/>
      <c r="D26" s="165"/>
      <c r="E26" s="136"/>
      <c r="F26" s="164"/>
      <c r="G26" s="143" t="str">
        <f>IF(K26&gt;0,"+","")</f>
        <v/>
      </c>
      <c r="H26" s="171"/>
      <c r="I26" s="171"/>
      <c r="J26" s="171"/>
      <c r="K26" s="164"/>
      <c r="L26" s="166"/>
      <c r="M26" s="165"/>
      <c r="N26" s="140"/>
    </row>
    <row r="27" spans="1:14" ht="15" customHeight="1">
      <c r="A27" s="163"/>
      <c r="B27" s="136"/>
      <c r="C27" s="164"/>
      <c r="D27" s="165"/>
      <c r="E27" s="136"/>
      <c r="F27" s="164"/>
      <c r="G27" s="143" t="str">
        <f>IF(K27&gt;0,"+","")</f>
        <v/>
      </c>
      <c r="H27" s="171"/>
      <c r="I27" s="171"/>
      <c r="J27" s="171"/>
      <c r="K27" s="164"/>
      <c r="L27" s="166"/>
      <c r="M27" s="165"/>
      <c r="N27" s="140"/>
    </row>
    <row r="28" spans="1:14" ht="15" customHeight="1">
      <c r="A28" s="163"/>
      <c r="B28" s="136"/>
      <c r="C28" s="164"/>
      <c r="D28" s="165"/>
      <c r="E28" s="136"/>
      <c r="F28" s="164"/>
      <c r="G28" s="144"/>
      <c r="H28" s="172"/>
      <c r="I28" s="172"/>
      <c r="J28" s="172"/>
      <c r="K28" s="173"/>
      <c r="L28" s="174"/>
      <c r="M28" s="175"/>
      <c r="N28" s="147"/>
    </row>
    <row r="29" spans="1:14" ht="15" customHeight="1" thickBot="1">
      <c r="A29" s="1144" t="s">
        <v>20</v>
      </c>
      <c r="B29" s="1145"/>
      <c r="C29" s="1145"/>
      <c r="D29" s="1145"/>
      <c r="E29" s="1145"/>
      <c r="F29" s="1145"/>
      <c r="G29" s="1145"/>
      <c r="H29" s="1145"/>
      <c r="I29" s="1145"/>
      <c r="J29" s="1145"/>
      <c r="K29" s="1145"/>
      <c r="L29" s="176"/>
      <c r="M29" s="177">
        <f>SUM(M12:M28)</f>
        <v>0</v>
      </c>
      <c r="N29" s="178"/>
    </row>
    <row r="30" spans="1:14" ht="13.5" thickTop="1"/>
    <row r="32" spans="1:14">
      <c r="G32" s="151">
        <f>SUM(G13:G14)</f>
        <v>47500</v>
      </c>
      <c r="H32" s="151"/>
      <c r="I32" s="151"/>
      <c r="J32" s="151"/>
    </row>
    <row r="33" spans="11:11">
      <c r="K33" s="105">
        <f>G28/1000</f>
        <v>0</v>
      </c>
    </row>
    <row r="34" spans="11:11">
      <c r="K34" s="105">
        <f>G32/1000</f>
        <v>47.5</v>
      </c>
    </row>
  </sheetData>
  <mergeCells count="4">
    <mergeCell ref="A29:K29"/>
    <mergeCell ref="A9:N9"/>
    <mergeCell ref="N10:N11"/>
    <mergeCell ref="A12:K12"/>
  </mergeCells>
  <phoneticPr fontId="0" type="noConversion"/>
  <printOptions horizontalCentered="1"/>
  <pageMargins left="0.47244094488188981" right="0.39370078740157483" top="1.2204724409448819" bottom="0.78740157480314965" header="0.31496062992125984" footer="0.31496062992125984"/>
  <pageSetup paperSize="9" scale="98" firstPageNumber="28" orientation="landscape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R114"/>
  <sheetViews>
    <sheetView topLeftCell="A13" workbookViewId="0">
      <selection activeCell="H95" sqref="H95"/>
    </sheetView>
  </sheetViews>
  <sheetFormatPr defaultRowHeight="12.75"/>
  <cols>
    <col min="1" max="1" width="11.7109375" style="351" customWidth="1"/>
    <col min="2" max="2" width="29" style="351" customWidth="1"/>
    <col min="3" max="3" width="7.7109375" style="351" customWidth="1"/>
    <col min="4" max="4" width="13.7109375" style="351" customWidth="1"/>
    <col min="5" max="5" width="6.7109375" style="351" customWidth="1"/>
    <col min="6" max="6" width="13" style="351" customWidth="1"/>
    <col min="7" max="7" width="6.7109375" style="352" customWidth="1"/>
    <col min="8" max="8" width="13" style="351" customWidth="1"/>
    <col min="9" max="9" width="6.7109375" style="351" customWidth="1"/>
    <col min="10" max="10" width="13" style="351" customWidth="1"/>
    <col min="11" max="11" width="6.7109375" style="351" customWidth="1"/>
    <col min="12" max="12" width="13" style="351" customWidth="1"/>
    <col min="13" max="13" width="6.7109375" style="351" customWidth="1"/>
    <col min="14" max="14" width="13" style="351" customWidth="1"/>
    <col min="15" max="15" width="6.7109375" style="351" customWidth="1"/>
    <col min="16" max="16" width="13" style="351" customWidth="1"/>
    <col min="17" max="17" width="7.42578125" style="351" customWidth="1"/>
    <col min="18" max="18" width="5.5703125" style="351" customWidth="1"/>
  </cols>
  <sheetData>
    <row r="1" spans="1:18" ht="21.95" customHeight="1">
      <c r="A1" s="1160"/>
      <c r="B1" s="1161"/>
      <c r="C1" s="1148" t="s">
        <v>500</v>
      </c>
      <c r="D1" s="1149"/>
      <c r="E1" s="1149"/>
      <c r="F1" s="1149"/>
      <c r="G1" s="1149"/>
      <c r="H1" s="1149"/>
      <c r="I1" s="1149"/>
      <c r="J1" s="1149"/>
      <c r="K1" s="1149"/>
      <c r="L1" s="1149"/>
      <c r="M1" s="1149"/>
      <c r="N1" s="1149"/>
      <c r="O1" s="1149"/>
      <c r="P1" s="1149"/>
      <c r="Q1" s="1149"/>
      <c r="R1" s="1150"/>
    </row>
    <row r="2" spans="1:18" ht="21.95" customHeight="1">
      <c r="A2" s="1162"/>
      <c r="B2" s="1163"/>
      <c r="C2" s="1151" t="s">
        <v>501</v>
      </c>
      <c r="D2" s="1152"/>
      <c r="E2" s="1152"/>
      <c r="F2" s="1152"/>
      <c r="G2" s="1152"/>
      <c r="H2" s="1152"/>
      <c r="I2" s="1152"/>
      <c r="J2" s="1152"/>
      <c r="K2" s="1152"/>
      <c r="L2" s="1152"/>
      <c r="M2" s="1152"/>
      <c r="N2" s="1152"/>
      <c r="O2" s="1152"/>
      <c r="P2" s="1152"/>
      <c r="Q2" s="1152"/>
      <c r="R2" s="1153"/>
    </row>
    <row r="3" spans="1:18" ht="21.95" customHeight="1">
      <c r="A3" s="1164"/>
      <c r="B3" s="1165"/>
      <c r="C3" s="1174" t="s">
        <v>502</v>
      </c>
      <c r="D3" s="1175"/>
      <c r="E3" s="1175"/>
      <c r="F3" s="1175"/>
      <c r="G3" s="1175"/>
      <c r="H3" s="1175"/>
      <c r="I3" s="1175"/>
      <c r="J3" s="1175"/>
      <c r="K3" s="1175"/>
      <c r="L3" s="1175"/>
      <c r="M3" s="1175"/>
      <c r="N3" s="1175"/>
      <c r="O3" s="1175"/>
      <c r="P3" s="1175"/>
      <c r="Q3" s="1175"/>
      <c r="R3" s="1176"/>
    </row>
    <row r="4" spans="1:18" ht="12.75" customHeight="1">
      <c r="A4" s="1154" t="s">
        <v>503</v>
      </c>
      <c r="B4" s="1155"/>
      <c r="C4" s="1155"/>
      <c r="D4" s="1155"/>
      <c r="E4" s="1155"/>
      <c r="F4" s="1155"/>
      <c r="G4" s="1155"/>
      <c r="H4" s="1155"/>
      <c r="I4" s="1155"/>
      <c r="J4" s="1155"/>
      <c r="K4" s="1155"/>
      <c r="L4" s="1155"/>
      <c r="M4" s="1155"/>
      <c r="N4" s="1155"/>
      <c r="O4" s="1155"/>
      <c r="P4" s="1155"/>
      <c r="Q4" s="1155"/>
      <c r="R4" s="1156"/>
    </row>
    <row r="5" spans="1:18" ht="12.75" customHeight="1">
      <c r="A5" s="1157"/>
      <c r="B5" s="1158"/>
      <c r="C5" s="1158"/>
      <c r="D5" s="1158"/>
      <c r="E5" s="1158"/>
      <c r="F5" s="1158"/>
      <c r="G5" s="1158"/>
      <c r="H5" s="1158"/>
      <c r="I5" s="1158"/>
      <c r="J5" s="1158"/>
      <c r="K5" s="1158"/>
      <c r="L5" s="1158"/>
      <c r="M5" s="1158"/>
      <c r="N5" s="1158"/>
      <c r="O5" s="1158"/>
      <c r="P5" s="1158"/>
      <c r="Q5" s="1158"/>
      <c r="R5" s="1159"/>
    </row>
    <row r="6" spans="1:18" ht="12.75" customHeight="1">
      <c r="A6" s="373" t="s">
        <v>477</v>
      </c>
      <c r="B6" s="1166" t="s">
        <v>506</v>
      </c>
      <c r="C6" s="1166"/>
      <c r="D6" s="1166"/>
      <c r="E6" s="1166"/>
      <c r="F6" s="1166"/>
      <c r="G6" s="1166"/>
      <c r="H6" s="1166"/>
      <c r="I6" s="1166"/>
      <c r="J6" s="1166"/>
      <c r="K6" s="1166"/>
      <c r="L6" s="1166"/>
      <c r="M6" s="1166"/>
      <c r="N6" s="1166"/>
      <c r="O6" s="1166"/>
      <c r="P6" s="1166"/>
      <c r="Q6" s="1166"/>
      <c r="R6" s="1167"/>
    </row>
    <row r="7" spans="1:18" ht="12.75" customHeight="1">
      <c r="A7" s="374" t="s">
        <v>478</v>
      </c>
      <c r="B7" s="363" t="s">
        <v>507</v>
      </c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3"/>
      <c r="N7" s="363"/>
      <c r="O7" s="363"/>
      <c r="P7" s="363"/>
      <c r="Q7" s="363"/>
      <c r="R7" s="375"/>
    </row>
    <row r="8" spans="1:18">
      <c r="A8" s="374" t="s">
        <v>505</v>
      </c>
      <c r="B8" s="363" t="s">
        <v>508</v>
      </c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363"/>
      <c r="N8" s="363"/>
      <c r="O8" s="363"/>
      <c r="P8" s="363"/>
      <c r="Q8" s="363"/>
      <c r="R8" s="375"/>
    </row>
    <row r="9" spans="1:18">
      <c r="A9" s="374" t="s">
        <v>505</v>
      </c>
      <c r="B9" s="364" t="s">
        <v>509</v>
      </c>
      <c r="C9" s="363" t="s">
        <v>512</v>
      </c>
      <c r="D9" s="363"/>
      <c r="E9" s="363"/>
      <c r="F9" s="363"/>
      <c r="G9" s="363"/>
      <c r="H9" s="363"/>
      <c r="I9" s="363"/>
      <c r="J9" s="363"/>
      <c r="K9" s="363"/>
      <c r="L9" s="363"/>
      <c r="M9" s="363"/>
      <c r="N9" s="363"/>
      <c r="O9" s="363"/>
      <c r="P9" s="363"/>
      <c r="Q9" s="363"/>
      <c r="R9" s="375"/>
    </row>
    <row r="10" spans="1:18">
      <c r="A10" s="374" t="s">
        <v>479</v>
      </c>
      <c r="B10" s="363" t="s">
        <v>510</v>
      </c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75"/>
    </row>
    <row r="11" spans="1:18">
      <c r="A11" s="374" t="s">
        <v>504</v>
      </c>
      <c r="B11" s="363" t="s">
        <v>511</v>
      </c>
      <c r="C11" s="363"/>
      <c r="D11" s="363"/>
      <c r="E11" s="363"/>
      <c r="F11" s="363"/>
      <c r="G11" s="363"/>
      <c r="H11" s="363"/>
      <c r="I11" s="363"/>
      <c r="J11" s="363"/>
      <c r="K11" s="363"/>
      <c r="L11" s="363"/>
      <c r="M11" s="363"/>
      <c r="N11" s="363"/>
      <c r="O11" s="363"/>
      <c r="P11" s="363"/>
      <c r="Q11" s="363"/>
      <c r="R11" s="376"/>
    </row>
    <row r="12" spans="1:18">
      <c r="A12" s="1204" t="s">
        <v>480</v>
      </c>
      <c r="B12" s="1205"/>
      <c r="C12" s="1205" t="s">
        <v>481</v>
      </c>
      <c r="D12" s="1205"/>
      <c r="E12" s="1206" t="s">
        <v>482</v>
      </c>
      <c r="F12" s="1206"/>
      <c r="G12" s="1206"/>
      <c r="H12" s="1206"/>
      <c r="I12" s="1206"/>
      <c r="J12" s="1206"/>
      <c r="K12" s="1206"/>
      <c r="L12" s="1206"/>
      <c r="M12" s="1206"/>
      <c r="N12" s="1206"/>
      <c r="O12" s="1206"/>
      <c r="P12" s="1207"/>
      <c r="Q12" s="1210" t="s">
        <v>483</v>
      </c>
      <c r="R12" s="1211"/>
    </row>
    <row r="13" spans="1:18">
      <c r="A13" s="1204"/>
      <c r="B13" s="1205"/>
      <c r="C13" s="1205"/>
      <c r="D13" s="1205"/>
      <c r="E13" s="1208"/>
      <c r="F13" s="1208"/>
      <c r="G13" s="1208"/>
      <c r="H13" s="1208"/>
      <c r="I13" s="1208"/>
      <c r="J13" s="1208"/>
      <c r="K13" s="1208"/>
      <c r="L13" s="1208"/>
      <c r="M13" s="1208"/>
      <c r="N13" s="1208"/>
      <c r="O13" s="1208"/>
      <c r="P13" s="1209"/>
      <c r="Q13" s="1212"/>
      <c r="R13" s="1213"/>
    </row>
    <row r="14" spans="1:18">
      <c r="A14" s="1204"/>
      <c r="B14" s="1205"/>
      <c r="C14" s="1205"/>
      <c r="D14" s="1205"/>
      <c r="E14" s="1216" t="s">
        <v>484</v>
      </c>
      <c r="F14" s="1205"/>
      <c r="G14" s="1205" t="s">
        <v>485</v>
      </c>
      <c r="H14" s="1205"/>
      <c r="I14" s="1205" t="s">
        <v>486</v>
      </c>
      <c r="J14" s="1205"/>
      <c r="K14" s="1205" t="s">
        <v>487</v>
      </c>
      <c r="L14" s="1205"/>
      <c r="M14" s="1217" t="s">
        <v>488</v>
      </c>
      <c r="N14" s="1216"/>
      <c r="O14" s="1217" t="s">
        <v>489</v>
      </c>
      <c r="P14" s="1216"/>
      <c r="Q14" s="1212"/>
      <c r="R14" s="1213"/>
    </row>
    <row r="15" spans="1:18">
      <c r="A15" s="1204"/>
      <c r="B15" s="1205"/>
      <c r="C15" s="347" t="s">
        <v>283</v>
      </c>
      <c r="D15" s="347" t="s">
        <v>490</v>
      </c>
      <c r="E15" s="347" t="s">
        <v>283</v>
      </c>
      <c r="F15" s="347" t="s">
        <v>490</v>
      </c>
      <c r="G15" s="347" t="s">
        <v>283</v>
      </c>
      <c r="H15" s="347" t="s">
        <v>490</v>
      </c>
      <c r="I15" s="347" t="s">
        <v>283</v>
      </c>
      <c r="J15" s="347" t="s">
        <v>490</v>
      </c>
      <c r="K15" s="347" t="s">
        <v>283</v>
      </c>
      <c r="L15" s="347" t="s">
        <v>490</v>
      </c>
      <c r="M15" s="347" t="s">
        <v>283</v>
      </c>
      <c r="N15" s="347" t="s">
        <v>490</v>
      </c>
      <c r="O15" s="347" t="s">
        <v>283</v>
      </c>
      <c r="P15" s="347" t="s">
        <v>490</v>
      </c>
      <c r="Q15" s="1214"/>
      <c r="R15" s="1215"/>
    </row>
    <row r="16" spans="1:18">
      <c r="A16" s="1182" t="e">
        <f>#REF!</f>
        <v>#REF!</v>
      </c>
      <c r="B16" s="1183"/>
      <c r="C16" s="1186" t="e">
        <f>D16/D34*100</f>
        <v>#REF!</v>
      </c>
      <c r="D16" s="1186" t="e">
        <f>#REF!</f>
        <v>#REF!</v>
      </c>
      <c r="E16" s="1186">
        <v>33.57</v>
      </c>
      <c r="F16" s="1177" t="e">
        <f>TRUNC(D16*E16%,2)</f>
        <v>#REF!</v>
      </c>
      <c r="G16" s="1186">
        <v>5.15</v>
      </c>
      <c r="H16" s="1177" t="e">
        <f>TRUNC(D16*G16%,2)</f>
        <v>#REF!</v>
      </c>
      <c r="I16" s="1186">
        <v>5.15</v>
      </c>
      <c r="J16" s="1177" t="e">
        <f>TRUNC(D16*I16%,2)+0.01</f>
        <v>#REF!</v>
      </c>
      <c r="K16" s="1186">
        <v>5.15</v>
      </c>
      <c r="L16" s="1177" t="e">
        <f>TRUNC(D16*K16%,2)+0</f>
        <v>#REF!</v>
      </c>
      <c r="M16" s="1186">
        <v>5.15</v>
      </c>
      <c r="N16" s="1177" t="e">
        <f>TRUNC(D16*M16%,2)+0</f>
        <v>#REF!</v>
      </c>
      <c r="O16" s="1186">
        <v>5.15</v>
      </c>
      <c r="P16" s="1177" t="e">
        <f>TRUNC(D16*O16%,2)+0</f>
        <v>#REF!</v>
      </c>
      <c r="Q16" s="1177" t="e">
        <f>F16+H16+J16+L16+N16+P16</f>
        <v>#REF!</v>
      </c>
      <c r="R16" s="1178"/>
    </row>
    <row r="17" spans="1:18">
      <c r="A17" s="1184"/>
      <c r="B17" s="1185"/>
      <c r="C17" s="1186"/>
      <c r="D17" s="1186"/>
      <c r="E17" s="1186"/>
      <c r="F17" s="1177"/>
      <c r="G17" s="1186"/>
      <c r="H17" s="1177"/>
      <c r="I17" s="1186"/>
      <c r="J17" s="1177"/>
      <c r="K17" s="1186"/>
      <c r="L17" s="1177"/>
      <c r="M17" s="1186"/>
      <c r="N17" s="1177"/>
      <c r="O17" s="1186"/>
      <c r="P17" s="1177"/>
      <c r="Q17" s="1177"/>
      <c r="R17" s="1178"/>
    </row>
    <row r="18" spans="1:18">
      <c r="A18" s="1182" t="e">
        <f>#REF!</f>
        <v>#REF!</v>
      </c>
      <c r="B18" s="1183"/>
      <c r="C18" s="1179" t="e">
        <f>D18/D35*100</f>
        <v>#REF!</v>
      </c>
      <c r="D18" s="1186" t="e">
        <f>#REF!</f>
        <v>#REF!</v>
      </c>
      <c r="E18" s="1186">
        <v>8.33</v>
      </c>
      <c r="F18" s="1177" t="e">
        <f>TRUNC(D18*E18%,2)</f>
        <v>#REF!</v>
      </c>
      <c r="G18" s="1186">
        <v>8.33</v>
      </c>
      <c r="H18" s="1177" t="e">
        <f>TRUNC(D18*G18%,2)</f>
        <v>#REF!</v>
      </c>
      <c r="I18" s="1186">
        <v>8.33</v>
      </c>
      <c r="J18" s="1177" t="e">
        <f>TRUNC(D18*I18%,2)+0.01</f>
        <v>#REF!</v>
      </c>
      <c r="K18" s="1186">
        <v>8.33</v>
      </c>
      <c r="L18" s="1177" t="e">
        <f>TRUNC(D18*K18%,2)+0</f>
        <v>#REF!</v>
      </c>
      <c r="M18" s="1186">
        <v>8.33</v>
      </c>
      <c r="N18" s="1177" t="e">
        <f>TRUNC(D18*M18%,2)+0</f>
        <v>#REF!</v>
      </c>
      <c r="O18" s="1186">
        <v>8.33</v>
      </c>
      <c r="P18" s="1177" t="e">
        <f>TRUNC(D18*O18%,2)+0</f>
        <v>#REF!</v>
      </c>
      <c r="Q18" s="1177" t="e">
        <f>F18+H18+J18+L18+N18+P18</f>
        <v>#REF!</v>
      </c>
      <c r="R18" s="1178"/>
    </row>
    <row r="19" spans="1:18">
      <c r="A19" s="1184"/>
      <c r="B19" s="1185"/>
      <c r="C19" s="1180"/>
      <c r="D19" s="1186"/>
      <c r="E19" s="1186"/>
      <c r="F19" s="1177"/>
      <c r="G19" s="1186"/>
      <c r="H19" s="1177"/>
      <c r="I19" s="1186"/>
      <c r="J19" s="1177"/>
      <c r="K19" s="1186"/>
      <c r="L19" s="1177"/>
      <c r="M19" s="1186"/>
      <c r="N19" s="1177"/>
      <c r="O19" s="1186"/>
      <c r="P19" s="1177"/>
      <c r="Q19" s="1177"/>
      <c r="R19" s="1178"/>
    </row>
    <row r="20" spans="1:18">
      <c r="A20" s="1182" t="e">
        <f>#REF!</f>
        <v>#REF!</v>
      </c>
      <c r="B20" s="1183"/>
      <c r="C20" s="1179" t="e">
        <f>D20/D34*100</f>
        <v>#REF!</v>
      </c>
      <c r="D20" s="1186" t="e">
        <f>#REF!</f>
        <v>#REF!</v>
      </c>
      <c r="E20" s="1186">
        <v>8.33</v>
      </c>
      <c r="F20" s="1177" t="e">
        <f>TRUNC(D20*E20%,2)</f>
        <v>#REF!</v>
      </c>
      <c r="G20" s="1186">
        <v>8.33</v>
      </c>
      <c r="H20" s="1177" t="e">
        <f>TRUNC(D20*G20%,2)</f>
        <v>#REF!</v>
      </c>
      <c r="I20" s="1186">
        <v>8.33</v>
      </c>
      <c r="J20" s="1177" t="e">
        <f>TRUNC(D20*I20%,2)+0.01</f>
        <v>#REF!</v>
      </c>
      <c r="K20" s="1186">
        <v>8.33</v>
      </c>
      <c r="L20" s="1177" t="e">
        <f>TRUNC(D20*K20%,2)+0</f>
        <v>#REF!</v>
      </c>
      <c r="M20" s="1186">
        <v>8.33</v>
      </c>
      <c r="N20" s="1177" t="e">
        <f>TRUNC(D20*M20%,2)+0</f>
        <v>#REF!</v>
      </c>
      <c r="O20" s="1186">
        <v>8.33</v>
      </c>
      <c r="P20" s="1177" t="e">
        <f>TRUNC(D20*O20%,2)+0</f>
        <v>#REF!</v>
      </c>
      <c r="Q20" s="1177" t="e">
        <f>F20+H20+J20+L20+N20+P20</f>
        <v>#REF!</v>
      </c>
      <c r="R20" s="1178"/>
    </row>
    <row r="21" spans="1:18">
      <c r="A21" s="1184"/>
      <c r="B21" s="1185"/>
      <c r="C21" s="1180"/>
      <c r="D21" s="1186"/>
      <c r="E21" s="1186"/>
      <c r="F21" s="1177"/>
      <c r="G21" s="1186"/>
      <c r="H21" s="1177"/>
      <c r="I21" s="1186"/>
      <c r="J21" s="1177"/>
      <c r="K21" s="1186"/>
      <c r="L21" s="1177"/>
      <c r="M21" s="1186"/>
      <c r="N21" s="1177"/>
      <c r="O21" s="1186"/>
      <c r="P21" s="1177"/>
      <c r="Q21" s="1177"/>
      <c r="R21" s="1178"/>
    </row>
    <row r="22" spans="1:18">
      <c r="A22" s="1182" t="e">
        <f>#REF!</f>
        <v>#REF!</v>
      </c>
      <c r="B22" s="1183"/>
      <c r="C22" s="1179" t="e">
        <f>D22/D35*100</f>
        <v>#REF!</v>
      </c>
      <c r="D22" s="1203" t="e">
        <f>#REF!</f>
        <v>#REF!</v>
      </c>
      <c r="E22" s="1186">
        <v>10</v>
      </c>
      <c r="F22" s="1177" t="e">
        <f>TRUNC(D22*E22%,2)</f>
        <v>#REF!</v>
      </c>
      <c r="G22" s="1186">
        <v>10</v>
      </c>
      <c r="H22" s="1177" t="e">
        <f>TRUNC(D22*G22%,2)</f>
        <v>#REF!</v>
      </c>
      <c r="I22" s="1186">
        <v>10</v>
      </c>
      <c r="J22" s="1177" t="e">
        <f>TRUNC(D22*I22%,2)+0.01</f>
        <v>#REF!</v>
      </c>
      <c r="K22" s="1186">
        <v>10</v>
      </c>
      <c r="L22" s="1177" t="e">
        <f>TRUNC(D22*K22%,2)+0</f>
        <v>#REF!</v>
      </c>
      <c r="M22" s="1186">
        <v>10</v>
      </c>
      <c r="N22" s="1177" t="e">
        <f>TRUNC(D22*M22%,2)+0</f>
        <v>#REF!</v>
      </c>
      <c r="O22" s="1186">
        <v>10</v>
      </c>
      <c r="P22" s="1177" t="e">
        <f>TRUNC(D22*O22%,2)+0</f>
        <v>#REF!</v>
      </c>
      <c r="Q22" s="1177" t="e">
        <f>F22+H22+J22+L22+N22+P22</f>
        <v>#REF!</v>
      </c>
      <c r="R22" s="1178"/>
    </row>
    <row r="23" spans="1:18">
      <c r="A23" s="1184"/>
      <c r="B23" s="1185"/>
      <c r="C23" s="1180"/>
      <c r="D23" s="1186"/>
      <c r="E23" s="1186"/>
      <c r="F23" s="1177"/>
      <c r="G23" s="1186"/>
      <c r="H23" s="1177"/>
      <c r="I23" s="1186"/>
      <c r="J23" s="1177"/>
      <c r="K23" s="1186"/>
      <c r="L23" s="1177"/>
      <c r="M23" s="1186"/>
      <c r="N23" s="1177"/>
      <c r="O23" s="1186"/>
      <c r="P23" s="1177"/>
      <c r="Q23" s="1177"/>
      <c r="R23" s="1178"/>
    </row>
    <row r="24" spans="1:18">
      <c r="A24" s="1182" t="e">
        <f>#REF!</f>
        <v>#REF!</v>
      </c>
      <c r="B24" s="1183"/>
      <c r="C24" s="1179" t="e">
        <f>D24/D34*100</f>
        <v>#REF!</v>
      </c>
      <c r="D24" s="1186" t="e">
        <f>#REF!</f>
        <v>#REF!</v>
      </c>
      <c r="E24" s="1186">
        <v>10</v>
      </c>
      <c r="F24" s="1177" t="e">
        <f>TRUNC(D24*E24%,2)</f>
        <v>#REF!</v>
      </c>
      <c r="G24" s="1186">
        <v>10</v>
      </c>
      <c r="H24" s="1177" t="e">
        <f>TRUNC(D24*G24%,2)</f>
        <v>#REF!</v>
      </c>
      <c r="I24" s="1186">
        <v>10</v>
      </c>
      <c r="J24" s="1177" t="e">
        <f>TRUNC(D24*I24%,2)</f>
        <v>#REF!</v>
      </c>
      <c r="K24" s="1179">
        <v>10</v>
      </c>
      <c r="L24" s="1177" t="e">
        <f>TRUNC(D24*K24%,2)+0</f>
        <v>#REF!</v>
      </c>
      <c r="M24" s="1186">
        <v>10</v>
      </c>
      <c r="N24" s="1177" t="e">
        <f>TRUNC(D24*M24%,2)+0</f>
        <v>#REF!</v>
      </c>
      <c r="O24" s="1186">
        <v>10</v>
      </c>
      <c r="P24" s="1177" t="e">
        <f>TRUNC(D24*O24%,2)+0</f>
        <v>#REF!</v>
      </c>
      <c r="Q24" s="1177" t="e">
        <f>F24+H24+J24+L24+N24+P24</f>
        <v>#REF!</v>
      </c>
      <c r="R24" s="1178"/>
    </row>
    <row r="25" spans="1:18">
      <c r="A25" s="1184"/>
      <c r="B25" s="1185"/>
      <c r="C25" s="1180"/>
      <c r="D25" s="1186"/>
      <c r="E25" s="1186"/>
      <c r="F25" s="1177"/>
      <c r="G25" s="1186"/>
      <c r="H25" s="1177"/>
      <c r="I25" s="1186"/>
      <c r="J25" s="1177"/>
      <c r="K25" s="1180"/>
      <c r="L25" s="1177"/>
      <c r="M25" s="1186"/>
      <c r="N25" s="1177"/>
      <c r="O25" s="1186"/>
      <c r="P25" s="1177"/>
      <c r="Q25" s="1177"/>
      <c r="R25" s="1178"/>
    </row>
    <row r="26" spans="1:18">
      <c r="A26" s="1182" t="e">
        <f>#REF!</f>
        <v>#REF!</v>
      </c>
      <c r="B26" s="1183"/>
      <c r="C26" s="1179" t="e">
        <f>D26/D34*100</f>
        <v>#REF!</v>
      </c>
      <c r="D26" s="1186" t="e">
        <f>#REF!</f>
        <v>#REF!</v>
      </c>
      <c r="E26" s="1186">
        <v>12</v>
      </c>
      <c r="F26" s="1177" t="e">
        <f>TRUNC(D26*E26%,2)</f>
        <v>#REF!</v>
      </c>
      <c r="G26" s="1186">
        <v>12</v>
      </c>
      <c r="H26" s="1177" t="e">
        <f>TRUNC(D26*G26%,2)</f>
        <v>#REF!</v>
      </c>
      <c r="I26" s="1186">
        <v>12</v>
      </c>
      <c r="J26" s="1177" t="e">
        <f>TRUNC(D26*I26%,2)+0.01</f>
        <v>#REF!</v>
      </c>
      <c r="K26" s="1179">
        <v>12</v>
      </c>
      <c r="L26" s="1177" t="e">
        <f>TRUNC(D26*K26%,2)+0</f>
        <v>#REF!</v>
      </c>
      <c r="M26" s="1186">
        <v>12</v>
      </c>
      <c r="N26" s="1177" t="e">
        <f>TRUNC(D26*M26%,2)+0</f>
        <v>#REF!</v>
      </c>
      <c r="O26" s="1186">
        <v>12</v>
      </c>
      <c r="P26" s="1177" t="e">
        <f>TRUNC(D26*O26%,2)+0</f>
        <v>#REF!</v>
      </c>
      <c r="Q26" s="1177" t="e">
        <f>F26+H26+J26+L26+N26+P26</f>
        <v>#REF!</v>
      </c>
      <c r="R26" s="1178"/>
    </row>
    <row r="27" spans="1:18">
      <c r="A27" s="1184"/>
      <c r="B27" s="1185"/>
      <c r="C27" s="1180"/>
      <c r="D27" s="1186"/>
      <c r="E27" s="1186"/>
      <c r="F27" s="1177"/>
      <c r="G27" s="1186"/>
      <c r="H27" s="1177"/>
      <c r="I27" s="1186"/>
      <c r="J27" s="1177"/>
      <c r="K27" s="1180"/>
      <c r="L27" s="1177"/>
      <c r="M27" s="1186"/>
      <c r="N27" s="1177"/>
      <c r="O27" s="1186"/>
      <c r="P27" s="1177"/>
      <c r="Q27" s="1177"/>
      <c r="R27" s="1178"/>
    </row>
    <row r="28" spans="1:18">
      <c r="A28" s="1182" t="e">
        <f>#REF!</f>
        <v>#REF!</v>
      </c>
      <c r="B28" s="1183"/>
      <c r="C28" s="1186" t="e">
        <f>D28/D34*100</f>
        <v>#REF!</v>
      </c>
      <c r="D28" s="1186" t="e">
        <f>#REF!</f>
        <v>#REF!</v>
      </c>
      <c r="E28" s="1186">
        <v>12</v>
      </c>
      <c r="F28" s="1177" t="e">
        <f>TRUNC(D28*E28%,2)</f>
        <v>#REF!</v>
      </c>
      <c r="G28" s="1186">
        <v>12</v>
      </c>
      <c r="H28" s="1177" t="e">
        <f>TRUNC(D28*G28%,2)</f>
        <v>#REF!</v>
      </c>
      <c r="I28" s="1179">
        <v>12</v>
      </c>
      <c r="J28" s="1177" t="e">
        <f>TRUNC(D28*I28%,2)+0.01</f>
        <v>#REF!</v>
      </c>
      <c r="K28" s="1179">
        <v>12</v>
      </c>
      <c r="L28" s="1179" t="e">
        <f>TRUNC(D28*K28%,2)+0</f>
        <v>#REF!</v>
      </c>
      <c r="M28" s="1179">
        <v>12</v>
      </c>
      <c r="N28" s="1177" t="e">
        <f>TRUNC(D28*M28%,2)+0</f>
        <v>#REF!</v>
      </c>
      <c r="O28" s="1179">
        <v>12</v>
      </c>
      <c r="P28" s="1177" t="e">
        <f>TRUNC(D28*O28%,2)+0</f>
        <v>#REF!</v>
      </c>
      <c r="Q28" s="1177" t="e">
        <f>F28+H28+J28+L28+N28+P28</f>
        <v>#REF!</v>
      </c>
      <c r="R28" s="1178"/>
    </row>
    <row r="29" spans="1:18">
      <c r="A29" s="1184"/>
      <c r="B29" s="1185"/>
      <c r="C29" s="1186"/>
      <c r="D29" s="1186"/>
      <c r="E29" s="1186"/>
      <c r="F29" s="1177"/>
      <c r="G29" s="1186"/>
      <c r="H29" s="1177"/>
      <c r="I29" s="1180"/>
      <c r="J29" s="1177"/>
      <c r="K29" s="1180"/>
      <c r="L29" s="1180"/>
      <c r="M29" s="1180"/>
      <c r="N29" s="1177"/>
      <c r="O29" s="1180"/>
      <c r="P29" s="1177"/>
      <c r="Q29" s="1177"/>
      <c r="R29" s="1178"/>
    </row>
    <row r="30" spans="1:18">
      <c r="A30" s="1182" t="e">
        <f>#REF!</f>
        <v>#REF!</v>
      </c>
      <c r="B30" s="1183"/>
      <c r="C30" s="1186" t="e">
        <f>D30/D34*100</f>
        <v>#REF!</v>
      </c>
      <c r="D30" s="1179" t="e">
        <f>#REF!</f>
        <v>#REF!</v>
      </c>
      <c r="E30" s="1186">
        <v>0</v>
      </c>
      <c r="F30" s="1177" t="e">
        <f>TRUNC(D30*E30%,2)</f>
        <v>#REF!</v>
      </c>
      <c r="G30" s="1186">
        <v>0</v>
      </c>
      <c r="H30" s="1177" t="e">
        <f>TRUNC(D30*G30%,2)</f>
        <v>#REF!</v>
      </c>
      <c r="I30" s="1179">
        <v>0</v>
      </c>
      <c r="J30" s="1177" t="e">
        <f>TRUNC(D30*I30%,2)</f>
        <v>#REF!</v>
      </c>
      <c r="K30" s="1179">
        <v>0</v>
      </c>
      <c r="L30" s="1179" t="e">
        <f>TRUNC(D30*K30%,2)+0</f>
        <v>#REF!</v>
      </c>
      <c r="M30" s="1179">
        <v>0</v>
      </c>
      <c r="N30" s="1177" t="e">
        <f>TRUNC(D30*M30%,2)+0</f>
        <v>#REF!</v>
      </c>
      <c r="O30" s="1179">
        <v>0</v>
      </c>
      <c r="P30" s="1177" t="e">
        <f>TRUNC(D30*O30%,2)+0</f>
        <v>#REF!</v>
      </c>
      <c r="Q30" s="1177" t="e">
        <f>F30+H30+J30+L30+N30+P30</f>
        <v>#REF!</v>
      </c>
      <c r="R30" s="1178"/>
    </row>
    <row r="31" spans="1:18">
      <c r="A31" s="1184"/>
      <c r="B31" s="1185"/>
      <c r="C31" s="1186"/>
      <c r="D31" s="1180"/>
      <c r="E31" s="1186"/>
      <c r="F31" s="1177"/>
      <c r="G31" s="1186"/>
      <c r="H31" s="1177"/>
      <c r="I31" s="1180"/>
      <c r="J31" s="1177"/>
      <c r="K31" s="1180"/>
      <c r="L31" s="1180"/>
      <c r="M31" s="1180"/>
      <c r="N31" s="1177"/>
      <c r="O31" s="1180"/>
      <c r="P31" s="1177"/>
      <c r="Q31" s="1177"/>
      <c r="R31" s="1178"/>
    </row>
    <row r="32" spans="1:18">
      <c r="A32" s="1182" t="e">
        <f>#REF!</f>
        <v>#REF!</v>
      </c>
      <c r="B32" s="1183"/>
      <c r="C32" s="1186" t="e">
        <f>D32/D34*100</f>
        <v>#REF!</v>
      </c>
      <c r="D32" s="1179" t="e">
        <f>#REF!</f>
        <v>#REF!</v>
      </c>
      <c r="E32" s="1179">
        <v>0</v>
      </c>
      <c r="F32" s="1177" t="e">
        <f>TRUNC(D32*E32%,2)</f>
        <v>#REF!</v>
      </c>
      <c r="G32" s="1179">
        <v>0</v>
      </c>
      <c r="H32" s="1177" t="e">
        <f>TRUNC(D32*G32%,2)</f>
        <v>#REF!</v>
      </c>
      <c r="I32" s="1179">
        <v>10</v>
      </c>
      <c r="J32" s="1177" t="e">
        <f>TRUNC(D32*I32%,2)+0</f>
        <v>#REF!</v>
      </c>
      <c r="K32" s="1179">
        <v>10</v>
      </c>
      <c r="L32" s="1179" t="e">
        <f>TRUNC(D32*K32%,2)+0</f>
        <v>#REF!</v>
      </c>
      <c r="M32" s="1179">
        <v>10</v>
      </c>
      <c r="N32" s="1177" t="e">
        <f>TRUNC(D32*M32%,2)+0</f>
        <v>#REF!</v>
      </c>
      <c r="O32" s="1179">
        <v>10</v>
      </c>
      <c r="P32" s="1177" t="e">
        <f>TRUNC(D32*O32%,2)+0</f>
        <v>#REF!</v>
      </c>
      <c r="Q32" s="1177" t="e">
        <f>F32+H32+J32+L32+N32+P32</f>
        <v>#REF!</v>
      </c>
      <c r="R32" s="1178"/>
    </row>
    <row r="33" spans="1:18">
      <c r="A33" s="1184"/>
      <c r="B33" s="1185"/>
      <c r="C33" s="1186"/>
      <c r="D33" s="1180"/>
      <c r="E33" s="1180"/>
      <c r="F33" s="1177"/>
      <c r="G33" s="1180"/>
      <c r="H33" s="1177"/>
      <c r="I33" s="1180"/>
      <c r="J33" s="1177"/>
      <c r="K33" s="1180"/>
      <c r="L33" s="1180"/>
      <c r="M33" s="1180"/>
      <c r="N33" s="1177"/>
      <c r="O33" s="1180"/>
      <c r="P33" s="1177"/>
      <c r="Q33" s="1177"/>
      <c r="R33" s="1178"/>
    </row>
    <row r="34" spans="1:18">
      <c r="A34" s="1168" t="s">
        <v>491</v>
      </c>
      <c r="B34" s="348" t="s">
        <v>492</v>
      </c>
      <c r="C34" s="349">
        <v>100</v>
      </c>
      <c r="D34" s="350" t="e">
        <f>SUM(D16:D33)</f>
        <v>#REF!</v>
      </c>
      <c r="E34" s="349" t="e">
        <f>F34/D35*100</f>
        <v>#REF!</v>
      </c>
      <c r="F34" s="350" t="e">
        <f>SUM(F16:F33)</f>
        <v>#REF!</v>
      </c>
      <c r="G34" s="349" t="e">
        <f>H34/D35*100</f>
        <v>#REF!</v>
      </c>
      <c r="H34" s="350" t="e">
        <f>SUM(H16:H33)</f>
        <v>#REF!</v>
      </c>
      <c r="I34" s="349" t="e">
        <f>J34/D35*100</f>
        <v>#REF!</v>
      </c>
      <c r="J34" s="350" t="e">
        <f>SUM(J16:J33)</f>
        <v>#REF!</v>
      </c>
      <c r="K34" s="349" t="e">
        <f>L34/D35*100</f>
        <v>#REF!</v>
      </c>
      <c r="L34" s="350" t="e">
        <f>SUM(L16:L33)</f>
        <v>#REF!</v>
      </c>
      <c r="M34" s="349" t="e">
        <f>N34/D35*100</f>
        <v>#REF!</v>
      </c>
      <c r="N34" s="350" t="e">
        <f>SUM(N16:N33)</f>
        <v>#REF!</v>
      </c>
      <c r="O34" s="349" t="e">
        <f>P34/D35*100</f>
        <v>#REF!</v>
      </c>
      <c r="P34" s="350" t="e">
        <f>SUM(P16:P33)</f>
        <v>#REF!</v>
      </c>
      <c r="Q34" s="1170" t="e">
        <f>SUM(Q16:R33)</f>
        <v>#REF!</v>
      </c>
      <c r="R34" s="1171"/>
    </row>
    <row r="35" spans="1:18" ht="13.5" thickBot="1">
      <c r="A35" s="1169"/>
      <c r="B35" s="377" t="s">
        <v>493</v>
      </c>
      <c r="C35" s="378">
        <v>100</v>
      </c>
      <c r="D35" s="379" t="e">
        <f>D34</f>
        <v>#REF!</v>
      </c>
      <c r="E35" s="378" t="e">
        <f>F35/D35*100</f>
        <v>#REF!</v>
      </c>
      <c r="F35" s="379" t="e">
        <f>F34</f>
        <v>#REF!</v>
      </c>
      <c r="G35" s="378" t="e">
        <f>H35/D35*100</f>
        <v>#REF!</v>
      </c>
      <c r="H35" s="379" t="e">
        <f>H34+F35</f>
        <v>#REF!</v>
      </c>
      <c r="I35" s="378" t="e">
        <f>J35/D35*100</f>
        <v>#REF!</v>
      </c>
      <c r="J35" s="379" t="e">
        <f>J34+H35</f>
        <v>#REF!</v>
      </c>
      <c r="K35" s="378" t="e">
        <f>L35/D35*100</f>
        <v>#REF!</v>
      </c>
      <c r="L35" s="379" t="e">
        <f>L34+J35</f>
        <v>#REF!</v>
      </c>
      <c r="M35" s="378" t="e">
        <f>N35/D35*100</f>
        <v>#REF!</v>
      </c>
      <c r="N35" s="379" t="e">
        <f>N34+L35</f>
        <v>#REF!</v>
      </c>
      <c r="O35" s="378" t="e">
        <f>P35/D35*100</f>
        <v>#REF!</v>
      </c>
      <c r="P35" s="379" t="e">
        <f>P34+N35</f>
        <v>#REF!</v>
      </c>
      <c r="Q35" s="1172" t="e">
        <f>Q34</f>
        <v>#REF!</v>
      </c>
      <c r="R35" s="1173"/>
    </row>
    <row r="36" spans="1:18">
      <c r="A36" s="368"/>
      <c r="B36" s="369"/>
      <c r="C36" s="370"/>
      <c r="D36" s="371"/>
      <c r="E36" s="370"/>
      <c r="F36" s="371"/>
      <c r="G36" s="370"/>
      <c r="H36" s="371"/>
      <c r="I36" s="370"/>
      <c r="J36" s="371"/>
      <c r="K36" s="370"/>
      <c r="L36" s="371"/>
      <c r="M36" s="370"/>
      <c r="N36" s="371"/>
      <c r="O36" s="370"/>
      <c r="P36" s="371"/>
      <c r="Q36" s="372"/>
      <c r="R36" s="372"/>
    </row>
    <row r="37" spans="1:18">
      <c r="A37" s="368"/>
      <c r="B37" s="369"/>
      <c r="C37" s="370"/>
      <c r="D37" s="371"/>
      <c r="E37" s="370"/>
      <c r="F37" s="371"/>
      <c r="G37" s="370"/>
      <c r="H37" s="371"/>
      <c r="I37" s="370"/>
      <c r="J37" s="371"/>
      <c r="K37" s="370"/>
      <c r="L37" s="371"/>
      <c r="M37" s="370"/>
      <c r="N37" s="371"/>
      <c r="O37" s="370"/>
      <c r="P37" s="371"/>
      <c r="Q37" s="372"/>
      <c r="R37" s="372"/>
    </row>
    <row r="38" spans="1:18">
      <c r="A38" s="368"/>
      <c r="B38" s="369"/>
      <c r="C38" s="370"/>
      <c r="D38" s="371"/>
      <c r="E38" s="370"/>
      <c r="F38" s="371"/>
      <c r="G38" s="370"/>
      <c r="H38" s="371"/>
      <c r="I38" s="370"/>
      <c r="J38" s="371"/>
      <c r="K38" s="370"/>
      <c r="L38" s="371"/>
      <c r="M38" s="370"/>
      <c r="N38" s="371"/>
      <c r="O38" s="370"/>
      <c r="P38" s="371"/>
      <c r="Q38" s="372"/>
      <c r="R38" s="372"/>
    </row>
    <row r="39" spans="1:18">
      <c r="A39" s="368"/>
      <c r="B39" s="369"/>
      <c r="C39" s="370"/>
      <c r="D39" s="371"/>
      <c r="E39" s="370"/>
      <c r="F39" s="371"/>
      <c r="G39" s="370"/>
      <c r="H39" s="371"/>
      <c r="I39" s="370"/>
      <c r="J39" s="371"/>
      <c r="K39" s="370"/>
      <c r="L39" s="371"/>
      <c r="M39" s="370"/>
      <c r="N39" s="371"/>
      <c r="O39" s="370"/>
      <c r="P39" s="371"/>
      <c r="Q39" s="372"/>
      <c r="R39" s="372"/>
    </row>
    <row r="40" spans="1:18">
      <c r="A40" s="368"/>
      <c r="B40" s="369"/>
      <c r="C40" s="370"/>
      <c r="D40" s="371"/>
      <c r="E40" s="370"/>
      <c r="F40" s="371"/>
      <c r="G40" s="370"/>
      <c r="H40" s="371"/>
      <c r="I40" s="370"/>
      <c r="J40" s="371"/>
      <c r="K40" s="370"/>
      <c r="L40" s="371"/>
      <c r="M40" s="370"/>
      <c r="N40" s="371"/>
      <c r="O40" s="370"/>
      <c r="P40" s="371"/>
      <c r="Q40" s="372"/>
      <c r="R40" s="372"/>
    </row>
    <row r="41" spans="1:18">
      <c r="A41" s="368"/>
      <c r="B41" s="369"/>
      <c r="C41" s="370"/>
      <c r="D41" s="371"/>
      <c r="E41" s="370"/>
      <c r="F41" s="371"/>
      <c r="G41" s="370"/>
      <c r="H41" s="371"/>
      <c r="I41" s="370"/>
      <c r="J41" s="371"/>
      <c r="K41" s="370"/>
      <c r="L41" s="371"/>
      <c r="M41" s="370"/>
      <c r="N41" s="371"/>
      <c r="O41" s="370"/>
      <c r="P41" s="371"/>
      <c r="Q41" s="372"/>
      <c r="R41" s="372"/>
    </row>
    <row r="42" spans="1:18">
      <c r="A42" s="368"/>
      <c r="B42" s="369"/>
      <c r="C42" s="370"/>
      <c r="D42" s="371"/>
      <c r="E42" s="370"/>
      <c r="F42" s="371"/>
      <c r="G42" s="370"/>
      <c r="H42" s="371"/>
      <c r="I42" s="370"/>
      <c r="J42" s="371"/>
      <c r="K42" s="370"/>
      <c r="L42" s="371"/>
      <c r="M42" s="370"/>
      <c r="N42" s="371"/>
      <c r="O42" s="370"/>
      <c r="P42" s="371"/>
      <c r="Q42" s="372"/>
      <c r="R42" s="372"/>
    </row>
    <row r="43" spans="1:18">
      <c r="A43" s="368"/>
      <c r="B43" s="369"/>
      <c r="C43" s="370"/>
      <c r="D43" s="371"/>
      <c r="E43" s="370"/>
      <c r="F43" s="371"/>
      <c r="G43" s="370"/>
      <c r="H43" s="371"/>
      <c r="I43" s="370"/>
      <c r="J43" s="371"/>
      <c r="K43" s="370"/>
      <c r="L43" s="371"/>
      <c r="M43" s="370"/>
      <c r="N43" s="371"/>
      <c r="O43" s="370"/>
      <c r="P43" s="371"/>
      <c r="Q43" s="372"/>
      <c r="R43" s="372"/>
    </row>
    <row r="44" spans="1:18">
      <c r="A44" s="368"/>
      <c r="B44" s="369"/>
      <c r="C44" s="370"/>
      <c r="D44" s="371"/>
      <c r="E44" s="370"/>
      <c r="F44" s="371"/>
      <c r="G44" s="370"/>
      <c r="H44" s="371"/>
      <c r="I44" s="370"/>
      <c r="J44" s="371"/>
      <c r="K44" s="370"/>
      <c r="L44" s="371"/>
      <c r="M44" s="370"/>
      <c r="N44" s="371"/>
      <c r="O44" s="370"/>
      <c r="P44" s="371"/>
      <c r="Q44" s="372"/>
      <c r="R44" s="372"/>
    </row>
    <row r="45" spans="1:18">
      <c r="A45" s="368"/>
      <c r="B45" s="369"/>
      <c r="C45" s="370"/>
      <c r="D45" s="371"/>
      <c r="E45" s="370"/>
      <c r="F45" s="371"/>
      <c r="G45" s="370"/>
      <c r="H45" s="371"/>
      <c r="I45" s="370"/>
      <c r="J45" s="371"/>
      <c r="K45" s="370"/>
      <c r="L45" s="371"/>
      <c r="M45" s="370"/>
      <c r="N45" s="371"/>
      <c r="O45" s="370"/>
      <c r="P45" s="371"/>
      <c r="Q45" s="372"/>
      <c r="R45" s="372"/>
    </row>
    <row r="46" spans="1:18" s="367" customFormat="1">
      <c r="A46" s="362"/>
      <c r="B46" s="362"/>
      <c r="C46" s="365"/>
      <c r="D46" s="365"/>
      <c r="E46" s="362"/>
      <c r="F46" s="362"/>
      <c r="G46" s="365"/>
      <c r="H46" s="362"/>
      <c r="I46" s="362"/>
      <c r="J46" s="362"/>
      <c r="K46" s="362"/>
      <c r="L46" s="362"/>
      <c r="M46" s="362"/>
      <c r="N46" s="362"/>
      <c r="O46" s="362"/>
      <c r="P46" s="362"/>
      <c r="Q46" s="366"/>
      <c r="R46" s="362"/>
    </row>
    <row r="47" spans="1:18" s="367" customFormat="1">
      <c r="A47" s="1201"/>
      <c r="B47" s="1201"/>
      <c r="C47" s="1201"/>
      <c r="D47" s="1201"/>
      <c r="E47" s="1201"/>
      <c r="F47" s="1201"/>
      <c r="G47" s="1201"/>
      <c r="H47" s="1201"/>
      <c r="I47" s="1201"/>
      <c r="J47" s="1202"/>
      <c r="K47" s="1202"/>
      <c r="L47" s="1202"/>
      <c r="M47" s="1202"/>
      <c r="N47" s="1202"/>
      <c r="O47" s="1202"/>
      <c r="P47" s="1202"/>
      <c r="Q47" s="1202"/>
      <c r="R47" s="1202"/>
    </row>
    <row r="48" spans="1:18" s="367" customFormat="1" ht="13.5" thickBot="1">
      <c r="A48" s="354"/>
      <c r="B48" s="354"/>
      <c r="C48" s="354"/>
      <c r="D48" s="354"/>
      <c r="E48" s="354"/>
      <c r="F48" s="354"/>
      <c r="G48" s="354"/>
      <c r="H48" s="354"/>
      <c r="I48" s="354"/>
      <c r="J48" s="355"/>
      <c r="K48" s="355"/>
      <c r="L48" s="355"/>
      <c r="M48" s="355"/>
      <c r="N48" s="355"/>
      <c r="O48" s="355"/>
      <c r="P48" s="355"/>
      <c r="Q48" s="355"/>
      <c r="R48" s="355"/>
    </row>
    <row r="49" spans="1:18" ht="21.95" customHeight="1">
      <c r="A49" s="1160"/>
      <c r="B49" s="1161"/>
      <c r="C49" s="1148" t="s">
        <v>500</v>
      </c>
      <c r="D49" s="1149"/>
      <c r="E49" s="1149"/>
      <c r="F49" s="1149"/>
      <c r="G49" s="1149"/>
      <c r="H49" s="1149"/>
      <c r="I49" s="1149"/>
      <c r="J49" s="1149"/>
      <c r="K49" s="1149"/>
      <c r="L49" s="1149"/>
      <c r="M49" s="1149"/>
      <c r="N49" s="1149"/>
      <c r="O49" s="1149"/>
      <c r="P49" s="1149"/>
      <c r="Q49" s="1149"/>
      <c r="R49" s="1150"/>
    </row>
    <row r="50" spans="1:18" ht="21.95" customHeight="1">
      <c r="A50" s="1162"/>
      <c r="B50" s="1163"/>
      <c r="C50" s="1151" t="s">
        <v>501</v>
      </c>
      <c r="D50" s="1152"/>
      <c r="E50" s="1152"/>
      <c r="F50" s="1152"/>
      <c r="G50" s="1152"/>
      <c r="H50" s="1152"/>
      <c r="I50" s="1152"/>
      <c r="J50" s="1152"/>
      <c r="K50" s="1152"/>
      <c r="L50" s="1152"/>
      <c r="M50" s="1152"/>
      <c r="N50" s="1152"/>
      <c r="O50" s="1152"/>
      <c r="P50" s="1152"/>
      <c r="Q50" s="1152"/>
      <c r="R50" s="1153"/>
    </row>
    <row r="51" spans="1:18" ht="21.95" customHeight="1">
      <c r="A51" s="1164"/>
      <c r="B51" s="1165"/>
      <c r="C51" s="1174" t="s">
        <v>502</v>
      </c>
      <c r="D51" s="1175"/>
      <c r="E51" s="1175"/>
      <c r="F51" s="1175"/>
      <c r="G51" s="1175"/>
      <c r="H51" s="1175"/>
      <c r="I51" s="1175"/>
      <c r="J51" s="1175"/>
      <c r="K51" s="1175"/>
      <c r="L51" s="1175"/>
      <c r="M51" s="1175"/>
      <c r="N51" s="1175"/>
      <c r="O51" s="1175"/>
      <c r="P51" s="1175"/>
      <c r="Q51" s="1175"/>
      <c r="R51" s="1176"/>
    </row>
    <row r="52" spans="1:18" ht="12.75" customHeight="1">
      <c r="A52" s="1154" t="s">
        <v>503</v>
      </c>
      <c r="B52" s="1155"/>
      <c r="C52" s="1155"/>
      <c r="D52" s="1155"/>
      <c r="E52" s="1155"/>
      <c r="F52" s="1155"/>
      <c r="G52" s="1155"/>
      <c r="H52" s="1155"/>
      <c r="I52" s="1155"/>
      <c r="J52" s="1155"/>
      <c r="K52" s="1155"/>
      <c r="L52" s="1155"/>
      <c r="M52" s="1155"/>
      <c r="N52" s="1155"/>
      <c r="O52" s="1155"/>
      <c r="P52" s="1155"/>
      <c r="Q52" s="1155"/>
      <c r="R52" s="1156"/>
    </row>
    <row r="53" spans="1:18" ht="12.75" customHeight="1">
      <c r="A53" s="1157"/>
      <c r="B53" s="1158"/>
      <c r="C53" s="1158"/>
      <c r="D53" s="1158"/>
      <c r="E53" s="1158"/>
      <c r="F53" s="1158"/>
      <c r="G53" s="1158"/>
      <c r="H53" s="1158"/>
      <c r="I53" s="1158"/>
      <c r="J53" s="1158"/>
      <c r="K53" s="1158"/>
      <c r="L53" s="1158"/>
      <c r="M53" s="1158"/>
      <c r="N53" s="1158"/>
      <c r="O53" s="1158"/>
      <c r="P53" s="1158"/>
      <c r="Q53" s="1158"/>
      <c r="R53" s="1159"/>
    </row>
    <row r="54" spans="1:18" ht="12.75" customHeight="1">
      <c r="A54" s="373" t="s">
        <v>477</v>
      </c>
      <c r="B54" s="1166" t="s">
        <v>506</v>
      </c>
      <c r="C54" s="1166"/>
      <c r="D54" s="1166"/>
      <c r="E54" s="1166"/>
      <c r="F54" s="1166"/>
      <c r="G54" s="1166"/>
      <c r="H54" s="1166"/>
      <c r="I54" s="1166"/>
      <c r="J54" s="1166"/>
      <c r="K54" s="1166"/>
      <c r="L54" s="1166"/>
      <c r="M54" s="1166"/>
      <c r="N54" s="1166"/>
      <c r="O54" s="1166"/>
      <c r="P54" s="1166"/>
      <c r="Q54" s="1166"/>
      <c r="R54" s="1167"/>
    </row>
    <row r="55" spans="1:18" ht="12.75" customHeight="1">
      <c r="A55" s="374" t="s">
        <v>478</v>
      </c>
      <c r="B55" s="363" t="s">
        <v>507</v>
      </c>
      <c r="C55" s="363"/>
      <c r="D55" s="363"/>
      <c r="E55" s="363"/>
      <c r="F55" s="363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63"/>
      <c r="R55" s="375"/>
    </row>
    <row r="56" spans="1:18">
      <c r="A56" s="374" t="s">
        <v>505</v>
      </c>
      <c r="B56" s="363" t="s">
        <v>508</v>
      </c>
      <c r="C56" s="363"/>
      <c r="D56" s="363"/>
      <c r="E56" s="363"/>
      <c r="F56" s="363"/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63"/>
      <c r="R56" s="375"/>
    </row>
    <row r="57" spans="1:18">
      <c r="A57" s="374" t="s">
        <v>505</v>
      </c>
      <c r="B57" s="364" t="s">
        <v>509</v>
      </c>
      <c r="C57" s="363" t="s">
        <v>512</v>
      </c>
      <c r="D57" s="363"/>
      <c r="E57" s="363"/>
      <c r="F57" s="363"/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63"/>
      <c r="R57" s="375"/>
    </row>
    <row r="58" spans="1:18">
      <c r="A58" s="374" t="s">
        <v>479</v>
      </c>
      <c r="B58" s="363" t="s">
        <v>510</v>
      </c>
      <c r="C58" s="363"/>
      <c r="D58" s="363"/>
      <c r="E58" s="363"/>
      <c r="F58" s="363"/>
      <c r="G58" s="363"/>
      <c r="H58" s="363"/>
      <c r="I58" s="363"/>
      <c r="J58" s="363"/>
      <c r="K58" s="363"/>
      <c r="L58" s="363"/>
      <c r="M58" s="363"/>
      <c r="N58" s="363"/>
      <c r="O58" s="363"/>
      <c r="P58" s="363"/>
      <c r="Q58" s="363"/>
      <c r="R58" s="375"/>
    </row>
    <row r="59" spans="1:18">
      <c r="A59" s="374" t="s">
        <v>504</v>
      </c>
      <c r="B59" s="363" t="s">
        <v>511</v>
      </c>
      <c r="C59" s="363"/>
      <c r="D59" s="363"/>
      <c r="E59" s="363"/>
      <c r="F59" s="363"/>
      <c r="G59" s="363"/>
      <c r="H59" s="363"/>
      <c r="I59" s="363"/>
      <c r="J59" s="363"/>
      <c r="K59" s="363"/>
      <c r="L59" s="363"/>
      <c r="M59" s="363"/>
      <c r="N59" s="363"/>
      <c r="O59" s="363"/>
      <c r="P59" s="363"/>
      <c r="Q59" s="363"/>
      <c r="R59" s="376"/>
    </row>
    <row r="60" spans="1:18">
      <c r="A60" s="1187" t="s">
        <v>480</v>
      </c>
      <c r="B60" s="1188"/>
      <c r="C60" s="1188" t="s">
        <v>481</v>
      </c>
      <c r="D60" s="1188"/>
      <c r="E60" s="1189" t="s">
        <v>482</v>
      </c>
      <c r="F60" s="1189"/>
      <c r="G60" s="1189"/>
      <c r="H60" s="1189"/>
      <c r="I60" s="1189"/>
      <c r="J60" s="1189"/>
      <c r="K60" s="1189"/>
      <c r="L60" s="1189"/>
      <c r="M60" s="1189"/>
      <c r="N60" s="1189"/>
      <c r="O60" s="1189"/>
      <c r="P60" s="1190"/>
      <c r="Q60" s="1193" t="s">
        <v>483</v>
      </c>
      <c r="R60" s="1194"/>
    </row>
    <row r="61" spans="1:18">
      <c r="A61" s="1187"/>
      <c r="B61" s="1188"/>
      <c r="C61" s="1188"/>
      <c r="D61" s="1188"/>
      <c r="E61" s="1191"/>
      <c r="F61" s="1191"/>
      <c r="G61" s="1191"/>
      <c r="H61" s="1191"/>
      <c r="I61" s="1191"/>
      <c r="J61" s="1191"/>
      <c r="K61" s="1191"/>
      <c r="L61" s="1191"/>
      <c r="M61" s="1191"/>
      <c r="N61" s="1191"/>
      <c r="O61" s="1191"/>
      <c r="P61" s="1192"/>
      <c r="Q61" s="1195"/>
      <c r="R61" s="1196"/>
    </row>
    <row r="62" spans="1:18">
      <c r="A62" s="1187"/>
      <c r="B62" s="1188"/>
      <c r="C62" s="1188"/>
      <c r="D62" s="1188"/>
      <c r="E62" s="1199" t="s">
        <v>494</v>
      </c>
      <c r="F62" s="1188"/>
      <c r="G62" s="1188" t="s">
        <v>495</v>
      </c>
      <c r="H62" s="1188"/>
      <c r="I62" s="1188" t="s">
        <v>496</v>
      </c>
      <c r="J62" s="1188"/>
      <c r="K62" s="1188" t="s">
        <v>497</v>
      </c>
      <c r="L62" s="1188"/>
      <c r="M62" s="1200" t="s">
        <v>498</v>
      </c>
      <c r="N62" s="1199"/>
      <c r="O62" s="1200" t="s">
        <v>499</v>
      </c>
      <c r="P62" s="1199"/>
      <c r="Q62" s="1195"/>
      <c r="R62" s="1196"/>
    </row>
    <row r="63" spans="1:18">
      <c r="A63" s="1187"/>
      <c r="B63" s="1188"/>
      <c r="C63" s="356" t="s">
        <v>283</v>
      </c>
      <c r="D63" s="356" t="s">
        <v>490</v>
      </c>
      <c r="E63" s="356" t="s">
        <v>283</v>
      </c>
      <c r="F63" s="356" t="s">
        <v>490</v>
      </c>
      <c r="G63" s="356" t="s">
        <v>283</v>
      </c>
      <c r="H63" s="356" t="s">
        <v>490</v>
      </c>
      <c r="I63" s="356" t="s">
        <v>283</v>
      </c>
      <c r="J63" s="356" t="s">
        <v>490</v>
      </c>
      <c r="K63" s="356" t="s">
        <v>283</v>
      </c>
      <c r="L63" s="356" t="s">
        <v>490</v>
      </c>
      <c r="M63" s="356" t="s">
        <v>283</v>
      </c>
      <c r="N63" s="356" t="s">
        <v>490</v>
      </c>
      <c r="O63" s="356" t="s">
        <v>283</v>
      </c>
      <c r="P63" s="356" t="s">
        <v>490</v>
      </c>
      <c r="Q63" s="1197"/>
      <c r="R63" s="1198"/>
    </row>
    <row r="64" spans="1:18">
      <c r="A64" s="1182" t="e">
        <f>A16</f>
        <v>#REF!</v>
      </c>
      <c r="B64" s="1183"/>
      <c r="C64" s="1186" t="e">
        <f>C16</f>
        <v>#REF!</v>
      </c>
      <c r="D64" s="1186" t="e">
        <f>D16</f>
        <v>#REF!</v>
      </c>
      <c r="E64" s="1186">
        <v>5.15</v>
      </c>
      <c r="F64" s="1177" t="e">
        <f>TRUNC(D64*E64%,2)</f>
        <v>#REF!</v>
      </c>
      <c r="G64" s="1186">
        <v>5.15</v>
      </c>
      <c r="H64" s="1177" t="e">
        <f>TRUNC(D64*G64%,2)</f>
        <v>#REF!</v>
      </c>
      <c r="I64" s="1186">
        <v>5.15</v>
      </c>
      <c r="J64" s="1177" t="e">
        <f>TRUNC(D64*I64%,2)+0</f>
        <v>#REF!</v>
      </c>
      <c r="K64" s="1186">
        <v>5.15</v>
      </c>
      <c r="L64" s="1177" t="e">
        <f>TRUNC(D64*K64%,2)+0</f>
        <v>#REF!</v>
      </c>
      <c r="M64" s="1186">
        <v>5.15</v>
      </c>
      <c r="N64" s="1177" t="e">
        <f>TRUNC(D64*M64%,2)+0</f>
        <v>#REF!</v>
      </c>
      <c r="O64" s="1186">
        <v>14.93</v>
      </c>
      <c r="P64" s="1177" t="e">
        <f>TRUNC(D64*O64%,2)+0.08</f>
        <v>#REF!</v>
      </c>
      <c r="Q64" s="1177" t="e">
        <f>Q16+F64+H64+J64+L64+N64+P64</f>
        <v>#REF!</v>
      </c>
      <c r="R64" s="1178"/>
    </row>
    <row r="65" spans="1:18">
      <c r="A65" s="1184"/>
      <c r="B65" s="1185"/>
      <c r="C65" s="1186"/>
      <c r="D65" s="1186"/>
      <c r="E65" s="1186"/>
      <c r="F65" s="1177"/>
      <c r="G65" s="1186"/>
      <c r="H65" s="1177"/>
      <c r="I65" s="1186"/>
      <c r="J65" s="1177"/>
      <c r="K65" s="1186"/>
      <c r="L65" s="1177"/>
      <c r="M65" s="1186"/>
      <c r="N65" s="1177"/>
      <c r="O65" s="1186"/>
      <c r="P65" s="1177"/>
      <c r="Q65" s="1177"/>
      <c r="R65" s="1178"/>
    </row>
    <row r="66" spans="1:18">
      <c r="A66" s="1182" t="e">
        <f>A18</f>
        <v>#REF!</v>
      </c>
      <c r="B66" s="1183"/>
      <c r="C66" s="1186" t="e">
        <f>C18</f>
        <v>#REF!</v>
      </c>
      <c r="D66" s="1186" t="e">
        <f>D18</f>
        <v>#REF!</v>
      </c>
      <c r="E66" s="1186">
        <v>8.33</v>
      </c>
      <c r="F66" s="1177" t="e">
        <f>TRUNC(D66*E66%,2)</f>
        <v>#REF!</v>
      </c>
      <c r="G66" s="1186">
        <v>8.33</v>
      </c>
      <c r="H66" s="1177" t="e">
        <f>TRUNC(D66*G66%,2)</f>
        <v>#REF!</v>
      </c>
      <c r="I66" s="1186">
        <v>8.33</v>
      </c>
      <c r="J66" s="1177" t="e">
        <f>TRUNC(D66*I66%,2)+0</f>
        <v>#REF!</v>
      </c>
      <c r="K66" s="1186">
        <v>8.33</v>
      </c>
      <c r="L66" s="1177" t="e">
        <f>TRUNC(D66*K66%,2)+0</f>
        <v>#REF!</v>
      </c>
      <c r="M66" s="1186">
        <v>8.33</v>
      </c>
      <c r="N66" s="1177" t="e">
        <f>TRUNC(D66*M66%,2)+0</f>
        <v>#REF!</v>
      </c>
      <c r="O66" s="1186">
        <v>8.3699999999999992</v>
      </c>
      <c r="P66" s="1177" t="e">
        <f>TRUNC(D66*O66%,2)+0.02</f>
        <v>#REF!</v>
      </c>
      <c r="Q66" s="1177" t="e">
        <f>Q18+F66+H66+J66+L66+N66+P66</f>
        <v>#REF!</v>
      </c>
      <c r="R66" s="1178"/>
    </row>
    <row r="67" spans="1:18">
      <c r="A67" s="1184"/>
      <c r="B67" s="1185"/>
      <c r="C67" s="1186"/>
      <c r="D67" s="1186"/>
      <c r="E67" s="1186"/>
      <c r="F67" s="1177"/>
      <c r="G67" s="1186"/>
      <c r="H67" s="1177"/>
      <c r="I67" s="1186"/>
      <c r="J67" s="1177"/>
      <c r="K67" s="1186"/>
      <c r="L67" s="1177"/>
      <c r="M67" s="1186"/>
      <c r="N67" s="1177"/>
      <c r="O67" s="1186"/>
      <c r="P67" s="1177"/>
      <c r="Q67" s="1177"/>
      <c r="R67" s="1178"/>
    </row>
    <row r="68" spans="1:18">
      <c r="A68" s="1182" t="e">
        <f>A20</f>
        <v>#REF!</v>
      </c>
      <c r="B68" s="1183"/>
      <c r="C68" s="1186" t="e">
        <f>C20</f>
        <v>#REF!</v>
      </c>
      <c r="D68" s="1186" t="e">
        <f>D20</f>
        <v>#REF!</v>
      </c>
      <c r="E68" s="1186">
        <v>8.33</v>
      </c>
      <c r="F68" s="1177" t="e">
        <f>TRUNC(D68*E68%,2)</f>
        <v>#REF!</v>
      </c>
      <c r="G68" s="1186">
        <v>8.33</v>
      </c>
      <c r="H68" s="1177" t="e">
        <f>TRUNC(D68*G68%,2)</f>
        <v>#REF!</v>
      </c>
      <c r="I68" s="1186">
        <v>8.33</v>
      </c>
      <c r="J68" s="1177" t="e">
        <f>TRUNC(D68*I68%,2)+0</f>
        <v>#REF!</v>
      </c>
      <c r="K68" s="1186">
        <v>8.33</v>
      </c>
      <c r="L68" s="1177" t="e">
        <f>TRUNC(D68*K68%,2)+0</f>
        <v>#REF!</v>
      </c>
      <c r="M68" s="1186">
        <v>8.33</v>
      </c>
      <c r="N68" s="1177" t="e">
        <f>TRUNC(D68*M68%,2)+0</f>
        <v>#REF!</v>
      </c>
      <c r="O68" s="1186">
        <v>8.3699999999999992</v>
      </c>
      <c r="P68" s="1177" t="e">
        <f>TRUNC(D68*O68%,2)+0</f>
        <v>#REF!</v>
      </c>
      <c r="Q68" s="1177" t="e">
        <f>Q20+F68+H68+J68+L68+N68+P68</f>
        <v>#REF!</v>
      </c>
      <c r="R68" s="1178"/>
    </row>
    <row r="69" spans="1:18">
      <c r="A69" s="1184"/>
      <c r="B69" s="1185"/>
      <c r="C69" s="1186"/>
      <c r="D69" s="1186"/>
      <c r="E69" s="1186"/>
      <c r="F69" s="1177"/>
      <c r="G69" s="1186"/>
      <c r="H69" s="1177"/>
      <c r="I69" s="1186"/>
      <c r="J69" s="1177"/>
      <c r="K69" s="1186"/>
      <c r="L69" s="1177"/>
      <c r="M69" s="1186"/>
      <c r="N69" s="1177"/>
      <c r="O69" s="1186"/>
      <c r="P69" s="1177"/>
      <c r="Q69" s="1177"/>
      <c r="R69" s="1178"/>
    </row>
    <row r="70" spans="1:18">
      <c r="A70" s="1182" t="e">
        <f>A22</f>
        <v>#REF!</v>
      </c>
      <c r="B70" s="1183"/>
      <c r="C70" s="1186" t="e">
        <f>C22</f>
        <v>#REF!</v>
      </c>
      <c r="D70" s="1186" t="e">
        <f>D22</f>
        <v>#REF!</v>
      </c>
      <c r="E70" s="1186">
        <v>10</v>
      </c>
      <c r="F70" s="1177" t="e">
        <f>TRUNC(D70*E70%,2)</f>
        <v>#REF!</v>
      </c>
      <c r="G70" s="1186">
        <v>10</v>
      </c>
      <c r="H70" s="1177" t="e">
        <f>TRUNC(D70*G70%,2)</f>
        <v>#REF!</v>
      </c>
      <c r="I70" s="1186">
        <v>10</v>
      </c>
      <c r="J70" s="1177" t="e">
        <f>TRUNC(D70*I70%,2)+0</f>
        <v>#REF!</v>
      </c>
      <c r="K70" s="1186">
        <v>5</v>
      </c>
      <c r="L70" s="1177" t="e">
        <f>TRUNC(D70*K70%,2)+0.025</f>
        <v>#REF!</v>
      </c>
      <c r="M70" s="1186">
        <v>5</v>
      </c>
      <c r="N70" s="1177" t="e">
        <f>TRUNC(D70*M70%,2)+0.025</f>
        <v>#REF!</v>
      </c>
      <c r="O70" s="1186">
        <v>0</v>
      </c>
      <c r="P70" s="1177" t="e">
        <f>TRUNC(D70*O70%,2)+0</f>
        <v>#REF!</v>
      </c>
      <c r="Q70" s="1177" t="e">
        <f>Q22+F70+H70+J70+L70+N70+P70</f>
        <v>#REF!</v>
      </c>
      <c r="R70" s="1178"/>
    </row>
    <row r="71" spans="1:18">
      <c r="A71" s="1184"/>
      <c r="B71" s="1185"/>
      <c r="C71" s="1186"/>
      <c r="D71" s="1186"/>
      <c r="E71" s="1186"/>
      <c r="F71" s="1177"/>
      <c r="G71" s="1186"/>
      <c r="H71" s="1177"/>
      <c r="I71" s="1186"/>
      <c r="J71" s="1177"/>
      <c r="K71" s="1186"/>
      <c r="L71" s="1177"/>
      <c r="M71" s="1186"/>
      <c r="N71" s="1177"/>
      <c r="O71" s="1186"/>
      <c r="P71" s="1177"/>
      <c r="Q71" s="1177"/>
      <c r="R71" s="1178"/>
    </row>
    <row r="72" spans="1:18">
      <c r="A72" s="1182" t="e">
        <f>A24</f>
        <v>#REF!</v>
      </c>
      <c r="B72" s="1183"/>
      <c r="C72" s="1186" t="e">
        <f>C24</f>
        <v>#REF!</v>
      </c>
      <c r="D72" s="1186" t="e">
        <f>D24</f>
        <v>#REF!</v>
      </c>
      <c r="E72" s="1186">
        <v>10</v>
      </c>
      <c r="F72" s="1177" t="e">
        <f>TRUNC(D72*E72%,2)</f>
        <v>#REF!</v>
      </c>
      <c r="G72" s="1186">
        <v>10</v>
      </c>
      <c r="H72" s="1177" t="e">
        <f>TRUNC(D72*G72%,2)</f>
        <v>#REF!</v>
      </c>
      <c r="I72" s="1186">
        <v>10</v>
      </c>
      <c r="J72" s="1177" t="e">
        <f>TRUNC(D72*I72%,2)+0</f>
        <v>#REF!</v>
      </c>
      <c r="K72" s="1186">
        <v>5</v>
      </c>
      <c r="L72" s="1177" t="e">
        <f>TRUNC(D72*K72%,2)+0.02</f>
        <v>#REF!</v>
      </c>
      <c r="M72" s="1186">
        <v>5</v>
      </c>
      <c r="N72" s="1177" t="e">
        <f>TRUNC(D72*M72%,2)+0.02</f>
        <v>#REF!</v>
      </c>
      <c r="O72" s="1186">
        <v>0</v>
      </c>
      <c r="P72" s="1177" t="e">
        <f>TRUNC(D72*O72%,2)+0</f>
        <v>#REF!</v>
      </c>
      <c r="Q72" s="1177" t="e">
        <f>Q24+F72+H72+J72+L72+N72+P72</f>
        <v>#REF!</v>
      </c>
      <c r="R72" s="1178"/>
    </row>
    <row r="73" spans="1:18">
      <c r="A73" s="1184"/>
      <c r="B73" s="1185"/>
      <c r="C73" s="1186"/>
      <c r="D73" s="1186"/>
      <c r="E73" s="1186"/>
      <c r="F73" s="1177"/>
      <c r="G73" s="1186"/>
      <c r="H73" s="1177"/>
      <c r="I73" s="1186"/>
      <c r="J73" s="1177"/>
      <c r="K73" s="1186"/>
      <c r="L73" s="1177"/>
      <c r="M73" s="1186"/>
      <c r="N73" s="1177"/>
      <c r="O73" s="1186"/>
      <c r="P73" s="1177"/>
      <c r="Q73" s="1177"/>
      <c r="R73" s="1178"/>
    </row>
    <row r="74" spans="1:18">
      <c r="A74" s="1182" t="e">
        <f>A26</f>
        <v>#REF!</v>
      </c>
      <c r="B74" s="1183"/>
      <c r="C74" s="1186" t="e">
        <f>C26</f>
        <v>#REF!</v>
      </c>
      <c r="D74" s="1186" t="e">
        <f>D26</f>
        <v>#REF!</v>
      </c>
      <c r="E74" s="1186">
        <v>12</v>
      </c>
      <c r="F74" s="1177" t="e">
        <f>TRUNC(D74*E74%,2)</f>
        <v>#REF!</v>
      </c>
      <c r="G74" s="1186">
        <v>16</v>
      </c>
      <c r="H74" s="1177" t="e">
        <f>TRUNC(D74*G74%,2)</f>
        <v>#REF!</v>
      </c>
      <c r="I74" s="1186">
        <v>0</v>
      </c>
      <c r="J74" s="1177" t="e">
        <f>TRUNC(D74*I74%,2)+0</f>
        <v>#REF!</v>
      </c>
      <c r="K74" s="1186">
        <v>0</v>
      </c>
      <c r="L74" s="1177" t="e">
        <f>TRUNC(D74*K74%,2)+0</f>
        <v>#REF!</v>
      </c>
      <c r="M74" s="1186">
        <v>0</v>
      </c>
      <c r="N74" s="1177" t="e">
        <f>TRUNC(D74*M74%,2)+0</f>
        <v>#REF!</v>
      </c>
      <c r="O74" s="1186">
        <v>0</v>
      </c>
      <c r="P74" s="1177" t="e">
        <f>TRUNC(D74*O74%,2)+0</f>
        <v>#REF!</v>
      </c>
      <c r="Q74" s="1177" t="e">
        <f>Q26+F74+H74+J74+L74+N74+P74</f>
        <v>#REF!</v>
      </c>
      <c r="R74" s="1178"/>
    </row>
    <row r="75" spans="1:18">
      <c r="A75" s="1184"/>
      <c r="B75" s="1185"/>
      <c r="C75" s="1186"/>
      <c r="D75" s="1186"/>
      <c r="E75" s="1186"/>
      <c r="F75" s="1177"/>
      <c r="G75" s="1186"/>
      <c r="H75" s="1177"/>
      <c r="I75" s="1186"/>
      <c r="J75" s="1177"/>
      <c r="K75" s="1186"/>
      <c r="L75" s="1177"/>
      <c r="M75" s="1186"/>
      <c r="N75" s="1177"/>
      <c r="O75" s="1186"/>
      <c r="P75" s="1177"/>
      <c r="Q75" s="1177"/>
      <c r="R75" s="1178"/>
    </row>
    <row r="76" spans="1:18">
      <c r="A76" s="1182" t="e">
        <f>A28</f>
        <v>#REF!</v>
      </c>
      <c r="B76" s="1183"/>
      <c r="C76" s="1186" t="e">
        <f>C28</f>
        <v>#REF!</v>
      </c>
      <c r="D76" s="1186" t="e">
        <f>D28</f>
        <v>#REF!</v>
      </c>
      <c r="E76" s="1179">
        <v>12</v>
      </c>
      <c r="F76" s="1177" t="e">
        <f>TRUNC(D76*E76%,2)</f>
        <v>#REF!</v>
      </c>
      <c r="G76" s="1179">
        <v>16</v>
      </c>
      <c r="H76" s="1177" t="e">
        <f>TRUNC(D76*G76%,2)+0.02</f>
        <v>#REF!</v>
      </c>
      <c r="I76" s="1179">
        <v>0</v>
      </c>
      <c r="J76" s="1177" t="e">
        <f>TRUNC(D76*I76%,2)+0</f>
        <v>#REF!</v>
      </c>
      <c r="K76" s="1179">
        <v>0</v>
      </c>
      <c r="L76" s="1177" t="e">
        <f>TRUNC(D76*K76%,2)+0</f>
        <v>#REF!</v>
      </c>
      <c r="M76" s="1179">
        <v>0</v>
      </c>
      <c r="N76" s="1177" t="e">
        <f>TRUNC(D76*M76%,2)+0</f>
        <v>#REF!</v>
      </c>
      <c r="O76" s="1179">
        <v>0</v>
      </c>
      <c r="P76" s="1177" t="e">
        <f>TRUNC(D76*O76%,2)+0</f>
        <v>#REF!</v>
      </c>
      <c r="Q76" s="1177" t="e">
        <f>Q28+F76+H76+J76+L76+N76+P76</f>
        <v>#REF!</v>
      </c>
      <c r="R76" s="1178"/>
    </row>
    <row r="77" spans="1:18">
      <c r="A77" s="1184"/>
      <c r="B77" s="1185"/>
      <c r="C77" s="1186"/>
      <c r="D77" s="1186"/>
      <c r="E77" s="1180"/>
      <c r="F77" s="1177"/>
      <c r="G77" s="1180"/>
      <c r="H77" s="1177"/>
      <c r="I77" s="1180"/>
      <c r="J77" s="1177"/>
      <c r="K77" s="1180"/>
      <c r="L77" s="1177"/>
      <c r="M77" s="1180"/>
      <c r="N77" s="1177"/>
      <c r="O77" s="1180"/>
      <c r="P77" s="1177"/>
      <c r="Q77" s="1177"/>
      <c r="R77" s="1178"/>
    </row>
    <row r="78" spans="1:18">
      <c r="A78" s="1182" t="e">
        <f>A30</f>
        <v>#REF!</v>
      </c>
      <c r="B78" s="1183"/>
      <c r="C78" s="1186" t="e">
        <f>C30</f>
        <v>#REF!</v>
      </c>
      <c r="D78" s="1186" t="e">
        <f>D30</f>
        <v>#REF!</v>
      </c>
      <c r="E78" s="1179">
        <v>15</v>
      </c>
      <c r="F78" s="1177" t="e">
        <f>TRUNC(D78*E78%,2)</f>
        <v>#REF!</v>
      </c>
      <c r="G78" s="1179">
        <v>15</v>
      </c>
      <c r="H78" s="1177" t="e">
        <f>TRUNC(D78*G78%,2)</f>
        <v>#REF!</v>
      </c>
      <c r="I78" s="1179">
        <v>15</v>
      </c>
      <c r="J78" s="1177" t="e">
        <f>TRUNC(D78*I78%,2)+0</f>
        <v>#REF!</v>
      </c>
      <c r="K78" s="1179">
        <v>15</v>
      </c>
      <c r="L78" s="1177" t="e">
        <f>TRUNC(D78*K78%,2)+0</f>
        <v>#REF!</v>
      </c>
      <c r="M78" s="1179">
        <v>15</v>
      </c>
      <c r="N78" s="1177" t="e">
        <f>TRUNC(D78*M78%,2)+0</f>
        <v>#REF!</v>
      </c>
      <c r="O78" s="1179">
        <v>25</v>
      </c>
      <c r="P78" s="1177" t="e">
        <f>TRUNC(D78*O78%,2)+0.01</f>
        <v>#REF!</v>
      </c>
      <c r="Q78" s="1177" t="e">
        <f>Q30+F78+H78+J78+L78+N78+P78</f>
        <v>#REF!</v>
      </c>
      <c r="R78" s="1178"/>
    </row>
    <row r="79" spans="1:18">
      <c r="A79" s="1184"/>
      <c r="B79" s="1185"/>
      <c r="C79" s="1186"/>
      <c r="D79" s="1186"/>
      <c r="E79" s="1180"/>
      <c r="F79" s="1177"/>
      <c r="G79" s="1180"/>
      <c r="H79" s="1177"/>
      <c r="I79" s="1180"/>
      <c r="J79" s="1177"/>
      <c r="K79" s="1180"/>
      <c r="L79" s="1177"/>
      <c r="M79" s="1180"/>
      <c r="N79" s="1177"/>
      <c r="O79" s="1180"/>
      <c r="P79" s="1177"/>
      <c r="Q79" s="1177"/>
      <c r="R79" s="1178"/>
    </row>
    <row r="80" spans="1:18">
      <c r="A80" s="1182" t="e">
        <f>A32</f>
        <v>#REF!</v>
      </c>
      <c r="B80" s="1183"/>
      <c r="C80" s="1186" t="e">
        <f>C32</f>
        <v>#REF!</v>
      </c>
      <c r="D80" s="1186" t="e">
        <f>D32</f>
        <v>#REF!</v>
      </c>
      <c r="E80" s="1179">
        <v>10</v>
      </c>
      <c r="F80" s="1177" t="e">
        <f>TRUNC(D80*E80%,2)</f>
        <v>#REF!</v>
      </c>
      <c r="G80" s="1179">
        <v>10</v>
      </c>
      <c r="H80" s="1177" t="e">
        <f>TRUNC(D80*G80%,2)</f>
        <v>#REF!</v>
      </c>
      <c r="I80" s="1179">
        <v>10</v>
      </c>
      <c r="J80" s="1177" t="e">
        <f>TRUNC(D80*I80%,2)+0</f>
        <v>#REF!</v>
      </c>
      <c r="K80" s="1179">
        <v>10</v>
      </c>
      <c r="L80" s="1177" t="e">
        <f>TRUNC(D80*K80%,2)+0</f>
        <v>#REF!</v>
      </c>
      <c r="M80" s="1179">
        <v>10</v>
      </c>
      <c r="N80" s="1177" t="e">
        <f>TRUNC(D80*M80%,2)+0</f>
        <v>#REF!</v>
      </c>
      <c r="O80" s="1179">
        <v>10</v>
      </c>
      <c r="P80" s="1177" t="e">
        <f>TRUNC(D80*O80%,2)+0.01</f>
        <v>#REF!</v>
      </c>
      <c r="Q80" s="1177" t="e">
        <f>Q32+F80+H80+J80+L80+N80+P80</f>
        <v>#REF!</v>
      </c>
      <c r="R80" s="1178"/>
    </row>
    <row r="81" spans="1:18">
      <c r="A81" s="1184"/>
      <c r="B81" s="1185"/>
      <c r="C81" s="1186"/>
      <c r="D81" s="1186"/>
      <c r="E81" s="1180"/>
      <c r="F81" s="1177"/>
      <c r="G81" s="1180"/>
      <c r="H81" s="1177"/>
      <c r="I81" s="1180"/>
      <c r="J81" s="1177"/>
      <c r="K81" s="1180"/>
      <c r="L81" s="1177"/>
      <c r="M81" s="1180"/>
      <c r="N81" s="1177"/>
      <c r="O81" s="1180"/>
      <c r="P81" s="1177"/>
      <c r="Q81" s="1177"/>
      <c r="R81" s="1178"/>
    </row>
    <row r="82" spans="1:18">
      <c r="A82" s="1168" t="s">
        <v>491</v>
      </c>
      <c r="B82" s="348" t="s">
        <v>492</v>
      </c>
      <c r="C82" s="349">
        <v>100</v>
      </c>
      <c r="D82" s="350" t="e">
        <f>SUM(D64:D81)</f>
        <v>#REF!</v>
      </c>
      <c r="E82" s="349" t="e">
        <f>F82/D83*100</f>
        <v>#REF!</v>
      </c>
      <c r="F82" s="350" t="e">
        <f>SUM(F64:F81)</f>
        <v>#REF!</v>
      </c>
      <c r="G82" s="349" t="e">
        <f>H82/D83*100</f>
        <v>#REF!</v>
      </c>
      <c r="H82" s="350" t="e">
        <f>SUM(H64:H81)</f>
        <v>#REF!</v>
      </c>
      <c r="I82" s="349" t="e">
        <f>J82/D83*100</f>
        <v>#REF!</v>
      </c>
      <c r="J82" s="350" t="e">
        <f>SUM(J64:J81)</f>
        <v>#REF!</v>
      </c>
      <c r="K82" s="349" t="e">
        <f>L82/D83*100</f>
        <v>#REF!</v>
      </c>
      <c r="L82" s="350" t="e">
        <f>SUM(L64:L81)</f>
        <v>#REF!</v>
      </c>
      <c r="M82" s="349" t="e">
        <f>N82/D83*100</f>
        <v>#REF!</v>
      </c>
      <c r="N82" s="350" t="e">
        <f>SUM(N64:N81)</f>
        <v>#REF!</v>
      </c>
      <c r="O82" s="349" t="e">
        <f>P82/D83*100</f>
        <v>#REF!</v>
      </c>
      <c r="P82" s="350" t="e">
        <f>SUM(P64:P81)</f>
        <v>#REF!</v>
      </c>
      <c r="Q82" s="1170" t="e">
        <f>SUM(Q64:R81)</f>
        <v>#REF!</v>
      </c>
      <c r="R82" s="1171"/>
    </row>
    <row r="83" spans="1:18" ht="13.5" thickBot="1">
      <c r="A83" s="1169"/>
      <c r="B83" s="377" t="s">
        <v>493</v>
      </c>
      <c r="C83" s="378">
        <v>100</v>
      </c>
      <c r="D83" s="379" t="e">
        <f>D82</f>
        <v>#REF!</v>
      </c>
      <c r="E83" s="378" t="e">
        <f>F83/D83*100</f>
        <v>#REF!</v>
      </c>
      <c r="F83" s="379" t="e">
        <f>F82+Q35</f>
        <v>#REF!</v>
      </c>
      <c r="G83" s="378" t="e">
        <f>H83/D83*100</f>
        <v>#REF!</v>
      </c>
      <c r="H83" s="379" t="e">
        <f>H82+F83</f>
        <v>#REF!</v>
      </c>
      <c r="I83" s="378" t="e">
        <f>J83/D83*100</f>
        <v>#REF!</v>
      </c>
      <c r="J83" s="379" t="e">
        <f>J82+H83</f>
        <v>#REF!</v>
      </c>
      <c r="K83" s="378" t="e">
        <f>L83/D83*100</f>
        <v>#REF!</v>
      </c>
      <c r="L83" s="379" t="e">
        <f>L82+J83</f>
        <v>#REF!</v>
      </c>
      <c r="M83" s="378" t="e">
        <f>N83/D83*100</f>
        <v>#REF!</v>
      </c>
      <c r="N83" s="379" t="e">
        <f>N82+L83</f>
        <v>#REF!</v>
      </c>
      <c r="O83" s="378" t="e">
        <f>P83/D83*100</f>
        <v>#REF!</v>
      </c>
      <c r="P83" s="379" t="e">
        <f>P82+N83</f>
        <v>#REF!</v>
      </c>
      <c r="Q83" s="1172" t="e">
        <f>Q82</f>
        <v>#REF!</v>
      </c>
      <c r="R83" s="1173"/>
    </row>
    <row r="84" spans="1:18">
      <c r="C84" s="352"/>
      <c r="D84" s="352"/>
      <c r="Q84" s="353"/>
    </row>
    <row r="87" spans="1:18">
      <c r="K87" s="358"/>
      <c r="R87" s="357"/>
    </row>
    <row r="88" spans="1:18">
      <c r="E88" s="359"/>
      <c r="F88" s="360"/>
      <c r="G88" s="351"/>
      <c r="K88" s="358"/>
      <c r="R88" s="357"/>
    </row>
    <row r="89" spans="1:18">
      <c r="E89" s="359"/>
      <c r="F89" s="360"/>
      <c r="G89" s="351"/>
      <c r="K89" s="358"/>
      <c r="R89" s="357"/>
    </row>
    <row r="90" spans="1:18">
      <c r="E90" s="359"/>
      <c r="F90" s="360"/>
      <c r="G90" s="351"/>
      <c r="K90" s="358"/>
      <c r="R90" s="357"/>
    </row>
    <row r="91" spans="1:18">
      <c r="E91" s="359"/>
      <c r="F91" s="360"/>
      <c r="G91" s="351"/>
      <c r="K91" s="358"/>
      <c r="R91" s="357"/>
    </row>
    <row r="92" spans="1:18">
      <c r="E92" s="359"/>
      <c r="F92" s="360"/>
      <c r="G92" s="351"/>
      <c r="K92" s="358"/>
      <c r="R92" s="357"/>
    </row>
    <row r="93" spans="1:18">
      <c r="E93" s="359"/>
      <c r="F93" s="360"/>
      <c r="G93" s="351"/>
      <c r="K93" s="358"/>
      <c r="R93" s="357"/>
    </row>
    <row r="94" spans="1:18">
      <c r="E94" s="359"/>
      <c r="F94" s="360"/>
      <c r="G94" s="351"/>
      <c r="K94" s="358"/>
      <c r="N94" s="361"/>
      <c r="R94" s="357"/>
    </row>
    <row r="95" spans="1:18">
      <c r="E95" s="359"/>
      <c r="F95" s="360"/>
      <c r="G95" s="351"/>
      <c r="K95" s="358"/>
      <c r="N95" s="361"/>
      <c r="R95" s="357"/>
    </row>
    <row r="96" spans="1:18">
      <c r="E96" s="359"/>
      <c r="F96" s="360"/>
      <c r="G96" s="351"/>
      <c r="K96" s="358"/>
      <c r="R96" s="357"/>
    </row>
    <row r="97" spans="4:18">
      <c r="E97" s="359"/>
      <c r="F97" s="360"/>
      <c r="G97" s="351"/>
      <c r="K97" s="358"/>
      <c r="R97" s="357"/>
    </row>
    <row r="98" spans="4:18">
      <c r="E98" s="359"/>
      <c r="F98" s="360"/>
      <c r="G98" s="351"/>
      <c r="K98" s="358"/>
      <c r="R98" s="357"/>
    </row>
    <row r="99" spans="4:18">
      <c r="E99" s="359"/>
      <c r="F99" s="360"/>
      <c r="G99" s="351"/>
      <c r="K99" s="358"/>
      <c r="R99" s="357"/>
    </row>
    <row r="100" spans="4:18">
      <c r="E100" s="359"/>
      <c r="F100" s="360"/>
      <c r="G100" s="351"/>
      <c r="K100" s="358"/>
      <c r="R100" s="357"/>
    </row>
    <row r="101" spans="4:18">
      <c r="E101" s="359"/>
      <c r="F101" s="360"/>
      <c r="G101" s="351"/>
      <c r="K101" s="358"/>
      <c r="R101" s="357"/>
    </row>
    <row r="102" spans="4:18">
      <c r="E102" s="359"/>
      <c r="F102" s="360"/>
      <c r="G102" s="351"/>
      <c r="K102" s="358"/>
      <c r="R102" s="357"/>
    </row>
    <row r="103" spans="4:18">
      <c r="E103" s="359"/>
      <c r="F103" s="360"/>
      <c r="G103" s="351"/>
      <c r="K103" s="358"/>
      <c r="R103" s="357"/>
    </row>
    <row r="104" spans="4:18">
      <c r="E104" s="359"/>
      <c r="F104" s="360"/>
      <c r="G104" s="351"/>
      <c r="K104" s="358"/>
      <c r="R104" s="357"/>
    </row>
    <row r="105" spans="4:18">
      <c r="E105" s="359"/>
      <c r="F105" s="360"/>
      <c r="G105" s="351"/>
      <c r="K105" s="358"/>
      <c r="R105" s="357"/>
    </row>
    <row r="106" spans="4:18">
      <c r="E106" s="359"/>
      <c r="F106" s="360"/>
      <c r="G106" s="351"/>
      <c r="K106" s="358"/>
      <c r="R106" s="357"/>
    </row>
    <row r="107" spans="4:18">
      <c r="E107" s="359"/>
      <c r="F107" s="360"/>
      <c r="G107" s="351"/>
      <c r="K107" s="358"/>
      <c r="R107" s="357"/>
    </row>
    <row r="108" spans="4:18">
      <c r="E108" s="359"/>
      <c r="F108" s="360"/>
      <c r="G108" s="351"/>
      <c r="K108" s="358"/>
      <c r="R108" s="357"/>
    </row>
    <row r="109" spans="4:18">
      <c r="E109" s="359"/>
      <c r="F109" s="360"/>
      <c r="G109" s="351"/>
      <c r="J109" s="359"/>
      <c r="R109" s="357"/>
    </row>
    <row r="110" spans="4:18">
      <c r="D110" s="359"/>
      <c r="G110" s="351"/>
      <c r="R110" s="357"/>
    </row>
    <row r="111" spans="4:18">
      <c r="R111" s="357"/>
    </row>
    <row r="112" spans="4:18">
      <c r="R112" s="357"/>
    </row>
    <row r="113" spans="13:14">
      <c r="M113" s="1181"/>
      <c r="N113" s="1181"/>
    </row>
    <row r="114" spans="13:14">
      <c r="M114" s="1181"/>
      <c r="N114" s="1181"/>
    </row>
  </sheetData>
  <mergeCells count="331">
    <mergeCell ref="C3:R3"/>
    <mergeCell ref="A12:B15"/>
    <mergeCell ref="C12:D14"/>
    <mergeCell ref="E12:P13"/>
    <mergeCell ref="Q12:R15"/>
    <mergeCell ref="E14:F14"/>
    <mergeCell ref="G14:H14"/>
    <mergeCell ref="I14:J14"/>
    <mergeCell ref="K14:L14"/>
    <mergeCell ref="M14:N14"/>
    <mergeCell ref="O14:P14"/>
    <mergeCell ref="L16:L17"/>
    <mergeCell ref="M16:M17"/>
    <mergeCell ref="N16:N17"/>
    <mergeCell ref="O16:O17"/>
    <mergeCell ref="P16:P17"/>
    <mergeCell ref="Q16:R17"/>
    <mergeCell ref="A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Q18:R19"/>
    <mergeCell ref="A16:B17"/>
    <mergeCell ref="C16:C17"/>
    <mergeCell ref="D20:D21"/>
    <mergeCell ref="E20:E21"/>
    <mergeCell ref="F20:F21"/>
    <mergeCell ref="G20:G21"/>
    <mergeCell ref="H20:H21"/>
    <mergeCell ref="I20:I21"/>
    <mergeCell ref="J20:J21"/>
    <mergeCell ref="K16:K17"/>
    <mergeCell ref="D16:D17"/>
    <mergeCell ref="E16:E17"/>
    <mergeCell ref="F16:F17"/>
    <mergeCell ref="G16:G17"/>
    <mergeCell ref="H16:H17"/>
    <mergeCell ref="I16:I17"/>
    <mergeCell ref="J16:J17"/>
    <mergeCell ref="K20:K21"/>
    <mergeCell ref="L20:L21"/>
    <mergeCell ref="M20:M21"/>
    <mergeCell ref="N20:N21"/>
    <mergeCell ref="O20:O21"/>
    <mergeCell ref="P20:P21"/>
    <mergeCell ref="Q20:R21"/>
    <mergeCell ref="A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R23"/>
    <mergeCell ref="A20:B21"/>
    <mergeCell ref="C20:C21"/>
    <mergeCell ref="L24:L25"/>
    <mergeCell ref="M24:M25"/>
    <mergeCell ref="N24:N25"/>
    <mergeCell ref="O24:O25"/>
    <mergeCell ref="P24:P25"/>
    <mergeCell ref="Q24:R25"/>
    <mergeCell ref="A26:B27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Q26:R27"/>
    <mergeCell ref="A24:B25"/>
    <mergeCell ref="C24:C25"/>
    <mergeCell ref="D28:D29"/>
    <mergeCell ref="E28:E29"/>
    <mergeCell ref="F28:F29"/>
    <mergeCell ref="G28:G29"/>
    <mergeCell ref="H28:H29"/>
    <mergeCell ref="I28:I29"/>
    <mergeCell ref="J28:J29"/>
    <mergeCell ref="K24:K25"/>
    <mergeCell ref="D24:D25"/>
    <mergeCell ref="E24:E25"/>
    <mergeCell ref="F24:F25"/>
    <mergeCell ref="G24:G25"/>
    <mergeCell ref="H24:H25"/>
    <mergeCell ref="I24:I25"/>
    <mergeCell ref="J24:J25"/>
    <mergeCell ref="K28:K29"/>
    <mergeCell ref="L28:L29"/>
    <mergeCell ref="M28:M29"/>
    <mergeCell ref="N28:N29"/>
    <mergeCell ref="O28:O29"/>
    <mergeCell ref="P28:P29"/>
    <mergeCell ref="Q28:R29"/>
    <mergeCell ref="A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R31"/>
    <mergeCell ref="A28:B29"/>
    <mergeCell ref="C28:C29"/>
    <mergeCell ref="Q32:R33"/>
    <mergeCell ref="H32:H33"/>
    <mergeCell ref="I32:I33"/>
    <mergeCell ref="J32:J33"/>
    <mergeCell ref="K32:K33"/>
    <mergeCell ref="L32:L33"/>
    <mergeCell ref="M32:M33"/>
    <mergeCell ref="A47:E47"/>
    <mergeCell ref="F47:I47"/>
    <mergeCell ref="J47:R47"/>
    <mergeCell ref="A34:A35"/>
    <mergeCell ref="Q34:R34"/>
    <mergeCell ref="Q35:R35"/>
    <mergeCell ref="A32:B33"/>
    <mergeCell ref="C32:C33"/>
    <mergeCell ref="D32:D33"/>
    <mergeCell ref="E32:E33"/>
    <mergeCell ref="F32:F33"/>
    <mergeCell ref="G32:G33"/>
    <mergeCell ref="N32:N33"/>
    <mergeCell ref="O32:O33"/>
    <mergeCell ref="P32:P33"/>
    <mergeCell ref="A60:B63"/>
    <mergeCell ref="C60:D62"/>
    <mergeCell ref="E60:P61"/>
    <mergeCell ref="Q60:R63"/>
    <mergeCell ref="E62:F62"/>
    <mergeCell ref="G62:H62"/>
    <mergeCell ref="I62:J62"/>
    <mergeCell ref="K62:L62"/>
    <mergeCell ref="M62:N62"/>
    <mergeCell ref="O62:P62"/>
    <mergeCell ref="L64:L65"/>
    <mergeCell ref="M64:M65"/>
    <mergeCell ref="N64:N65"/>
    <mergeCell ref="O64:O65"/>
    <mergeCell ref="P64:P65"/>
    <mergeCell ref="Q64:R65"/>
    <mergeCell ref="A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O67"/>
    <mergeCell ref="P66:P67"/>
    <mergeCell ref="Q66:R67"/>
    <mergeCell ref="A64:B65"/>
    <mergeCell ref="C64:C65"/>
    <mergeCell ref="D68:D69"/>
    <mergeCell ref="E68:E69"/>
    <mergeCell ref="F68:F69"/>
    <mergeCell ref="G68:G69"/>
    <mergeCell ref="H68:H69"/>
    <mergeCell ref="I68:I69"/>
    <mergeCell ref="J68:J69"/>
    <mergeCell ref="K64:K65"/>
    <mergeCell ref="D64:D65"/>
    <mergeCell ref="E64:E65"/>
    <mergeCell ref="F64:F65"/>
    <mergeCell ref="G64:G65"/>
    <mergeCell ref="H64:H65"/>
    <mergeCell ref="I64:I65"/>
    <mergeCell ref="J64:J65"/>
    <mergeCell ref="K68:K69"/>
    <mergeCell ref="L68:L69"/>
    <mergeCell ref="M68:M69"/>
    <mergeCell ref="N68:N69"/>
    <mergeCell ref="O68:O69"/>
    <mergeCell ref="P68:P69"/>
    <mergeCell ref="Q68:R69"/>
    <mergeCell ref="A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O71"/>
    <mergeCell ref="P70:P71"/>
    <mergeCell ref="Q70:R71"/>
    <mergeCell ref="A68:B69"/>
    <mergeCell ref="C68:C69"/>
    <mergeCell ref="M72:M73"/>
    <mergeCell ref="N72:N73"/>
    <mergeCell ref="O72:O73"/>
    <mergeCell ref="P72:P73"/>
    <mergeCell ref="Q72:R73"/>
    <mergeCell ref="A74:B75"/>
    <mergeCell ref="C74:C75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O74:O75"/>
    <mergeCell ref="P74:P75"/>
    <mergeCell ref="Q74:R75"/>
    <mergeCell ref="A72:B73"/>
    <mergeCell ref="C72:C73"/>
    <mergeCell ref="D72:D73"/>
    <mergeCell ref="E76:E77"/>
    <mergeCell ref="F76:F77"/>
    <mergeCell ref="G76:G77"/>
    <mergeCell ref="H76:H77"/>
    <mergeCell ref="I76:I77"/>
    <mergeCell ref="J76:J77"/>
    <mergeCell ref="K72:K73"/>
    <mergeCell ref="L72:L73"/>
    <mergeCell ref="E72:E73"/>
    <mergeCell ref="F72:F73"/>
    <mergeCell ref="G72:G73"/>
    <mergeCell ref="H72:H73"/>
    <mergeCell ref="I72:I73"/>
    <mergeCell ref="J72:J73"/>
    <mergeCell ref="L76:L77"/>
    <mergeCell ref="M76:M77"/>
    <mergeCell ref="N76:N77"/>
    <mergeCell ref="O76:O77"/>
    <mergeCell ref="P76:P77"/>
    <mergeCell ref="Q76:R77"/>
    <mergeCell ref="A78:B79"/>
    <mergeCell ref="C78:C79"/>
    <mergeCell ref="D78:D79"/>
    <mergeCell ref="E78:E79"/>
    <mergeCell ref="F78:F79"/>
    <mergeCell ref="G78:G79"/>
    <mergeCell ref="H78:H79"/>
    <mergeCell ref="I78:I79"/>
    <mergeCell ref="J78:J79"/>
    <mergeCell ref="K78:K79"/>
    <mergeCell ref="L78:L79"/>
    <mergeCell ref="M78:M79"/>
    <mergeCell ref="N78:N79"/>
    <mergeCell ref="O78:O79"/>
    <mergeCell ref="P78:P79"/>
    <mergeCell ref="Q78:R79"/>
    <mergeCell ref="A76:B77"/>
    <mergeCell ref="C76:C77"/>
    <mergeCell ref="D76:D77"/>
    <mergeCell ref="M113:N113"/>
    <mergeCell ref="M114:N114"/>
    <mergeCell ref="A80:B81"/>
    <mergeCell ref="C80:C81"/>
    <mergeCell ref="D80:D81"/>
    <mergeCell ref="E80:E81"/>
    <mergeCell ref="F80:F81"/>
    <mergeCell ref="G80:G81"/>
    <mergeCell ref="N80:N81"/>
    <mergeCell ref="C1:R1"/>
    <mergeCell ref="C2:R2"/>
    <mergeCell ref="A4:R5"/>
    <mergeCell ref="A1:B3"/>
    <mergeCell ref="B6:R6"/>
    <mergeCell ref="A82:A83"/>
    <mergeCell ref="Q82:R82"/>
    <mergeCell ref="Q83:R83"/>
    <mergeCell ref="A49:B51"/>
    <mergeCell ref="C49:R49"/>
    <mergeCell ref="C50:R50"/>
    <mergeCell ref="C51:R51"/>
    <mergeCell ref="A52:R53"/>
    <mergeCell ref="B54:R54"/>
    <mergeCell ref="Q80:R81"/>
    <mergeCell ref="H80:H81"/>
    <mergeCell ref="I80:I81"/>
    <mergeCell ref="J80:J81"/>
    <mergeCell ref="K80:K81"/>
    <mergeCell ref="L80:L81"/>
    <mergeCell ref="M80:M81"/>
    <mergeCell ref="O80:O81"/>
    <mergeCell ref="P80:P81"/>
    <mergeCell ref="K76:K77"/>
  </mergeCells>
  <printOptions horizontalCentered="1"/>
  <pageMargins left="0.47244094488188981" right="0.47244094488188981" top="0.98425196850393704" bottom="0.98425196850393704" header="0.31496062992125984" footer="0.31496062992125984"/>
  <pageSetup paperSize="9" scale="72" orientation="landscape" r:id="rId1"/>
  <headerFooter>
    <oddFooter>&amp;CEng Darcibel Silva Ramos-Crea-MT04576/D-RN:1201486998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E29" sqref="E29"/>
    </sheetView>
  </sheetViews>
  <sheetFormatPr defaultRowHeight="13.5"/>
  <cols>
    <col min="1" max="1" width="9.140625" style="262"/>
    <col min="2" max="7" width="9.140625" style="263"/>
    <col min="8" max="9" width="9.140625" style="264"/>
    <col min="10" max="10" width="9.140625" style="265"/>
  </cols>
  <sheetData>
    <row r="1" spans="1:10" ht="12.75">
      <c r="A1" s="1234" t="s">
        <v>258</v>
      </c>
      <c r="B1" s="1235"/>
      <c r="C1" s="1235"/>
      <c r="D1" s="1235"/>
      <c r="E1" s="1235"/>
      <c r="F1" s="1235"/>
      <c r="G1" s="1235"/>
      <c r="H1" s="1236"/>
      <c r="I1" s="1240" t="s">
        <v>259</v>
      </c>
      <c r="J1" s="1236"/>
    </row>
    <row r="2" spans="1:10" ht="12.75">
      <c r="A2" s="1237"/>
      <c r="B2" s="1238"/>
      <c r="C2" s="1238"/>
      <c r="D2" s="1238"/>
      <c r="E2" s="1238"/>
      <c r="F2" s="1238"/>
      <c r="G2" s="1238"/>
      <c r="H2" s="1239"/>
      <c r="I2" s="1237"/>
      <c r="J2" s="1239"/>
    </row>
    <row r="3" spans="1:10" ht="12.75">
      <c r="A3" s="1241" t="s">
        <v>260</v>
      </c>
      <c r="B3" s="1243" t="s">
        <v>261</v>
      </c>
      <c r="C3" s="1244"/>
      <c r="D3" s="1244"/>
      <c r="E3" s="1244"/>
      <c r="F3" s="1244"/>
      <c r="G3" s="1241" t="s">
        <v>262</v>
      </c>
      <c r="H3" s="1247" t="s">
        <v>263</v>
      </c>
      <c r="I3" s="1243" t="s">
        <v>264</v>
      </c>
      <c r="J3" s="1241" t="s">
        <v>265</v>
      </c>
    </row>
    <row r="4" spans="1:10" ht="12.75">
      <c r="A4" s="1242"/>
      <c r="B4" s="1245"/>
      <c r="C4" s="1246"/>
      <c r="D4" s="1246"/>
      <c r="E4" s="1246"/>
      <c r="F4" s="1246"/>
      <c r="G4" s="1242"/>
      <c r="H4" s="1248"/>
      <c r="I4" s="1249"/>
      <c r="J4" s="1242"/>
    </row>
    <row r="5" spans="1:10" ht="12.75" customHeight="1">
      <c r="A5" s="245" t="s">
        <v>266</v>
      </c>
      <c r="B5" s="1223" t="s">
        <v>267</v>
      </c>
      <c r="C5" s="1224"/>
      <c r="D5" s="1224"/>
      <c r="E5" s="1224"/>
      <c r="F5" s="1225"/>
      <c r="G5" s="249" t="s">
        <v>43</v>
      </c>
      <c r="H5" s="250">
        <v>1</v>
      </c>
      <c r="I5" s="250">
        <f>'Canteiro de Obra'!J33</f>
        <v>193074.226</v>
      </c>
      <c r="J5" s="251">
        <f>I5*H5</f>
        <v>193074.226</v>
      </c>
    </row>
    <row r="6" spans="1:10" ht="12.75" customHeight="1">
      <c r="A6" s="252" t="s">
        <v>268</v>
      </c>
      <c r="B6" s="1223" t="s">
        <v>269</v>
      </c>
      <c r="C6" s="1224"/>
      <c r="D6" s="1224"/>
      <c r="E6" s="1224"/>
      <c r="F6" s="1225"/>
      <c r="G6" s="249" t="s">
        <v>43</v>
      </c>
      <c r="H6" s="250">
        <v>1</v>
      </c>
      <c r="I6" s="250">
        <f>'Acampamento Obra'!J15</f>
        <v>168274.25999999998</v>
      </c>
      <c r="J6" s="251">
        <f>I6*H6</f>
        <v>168274.25999999998</v>
      </c>
    </row>
    <row r="7" spans="1:10" ht="12.75">
      <c r="A7" s="245"/>
      <c r="B7" s="1226"/>
      <c r="C7" s="1227"/>
      <c r="D7" s="1227"/>
      <c r="E7" s="1227"/>
      <c r="F7" s="1228"/>
      <c r="G7" s="253"/>
      <c r="H7" s="250"/>
      <c r="I7" s="250"/>
      <c r="J7" s="251"/>
    </row>
    <row r="8" spans="1:10" ht="12.75">
      <c r="A8" s="1229"/>
      <c r="B8" s="1230"/>
      <c r="C8" s="1230"/>
      <c r="D8" s="1230"/>
      <c r="E8" s="1230"/>
      <c r="F8" s="1230"/>
      <c r="G8" s="1230"/>
      <c r="H8" s="1230"/>
      <c r="I8" s="1230"/>
      <c r="J8" s="1231"/>
    </row>
    <row r="9" spans="1:10">
      <c r="A9" s="1218" t="s">
        <v>270</v>
      </c>
      <c r="B9" s="1218"/>
      <c r="C9" s="1218"/>
      <c r="D9" s="1218"/>
      <c r="E9" s="1218"/>
      <c r="F9" s="1218"/>
      <c r="G9" s="1218"/>
      <c r="H9" s="1219"/>
      <c r="I9" s="1219"/>
      <c r="J9" s="254">
        <f>SUM(J5:J7)</f>
        <v>361348.48599999998</v>
      </c>
    </row>
    <row r="10" spans="1:10">
      <c r="A10" s="1232" t="s">
        <v>271</v>
      </c>
      <c r="B10" s="1232"/>
      <c r="C10" s="1232"/>
      <c r="D10" s="1232"/>
      <c r="E10" s="1232"/>
      <c r="F10" s="1232"/>
      <c r="G10" s="1232"/>
      <c r="H10" s="1233"/>
      <c r="I10" s="1233"/>
      <c r="J10" s="254">
        <f>J9*0.267</f>
        <v>96480.045761999994</v>
      </c>
    </row>
    <row r="11" spans="1:10">
      <c r="A11" s="1218" t="s">
        <v>272</v>
      </c>
      <c r="B11" s="1218"/>
      <c r="C11" s="1218"/>
      <c r="D11" s="1218"/>
      <c r="E11" s="1218"/>
      <c r="F11" s="1218"/>
      <c r="G11" s="1218"/>
      <c r="H11" s="1219"/>
      <c r="I11" s="1219"/>
      <c r="J11" s="254">
        <f>J9+J10</f>
        <v>457828.53176199994</v>
      </c>
    </row>
    <row r="12" spans="1:10" ht="12.75">
      <c r="A12" s="255"/>
      <c r="B12" s="256"/>
      <c r="C12" s="256"/>
      <c r="D12" s="256"/>
      <c r="E12" s="256"/>
      <c r="F12" s="256"/>
      <c r="G12" s="256"/>
      <c r="H12" s="257"/>
      <c r="I12" s="257"/>
      <c r="J12" s="258"/>
    </row>
    <row r="13" spans="1:10" ht="12.75">
      <c r="A13" s="1220"/>
      <c r="B13" s="1221"/>
      <c r="C13" s="1221"/>
      <c r="D13" s="1221"/>
      <c r="E13" s="1221"/>
      <c r="F13" s="1221"/>
      <c r="G13" s="1221"/>
      <c r="H13" s="1221"/>
      <c r="I13" s="1221"/>
      <c r="J13" s="1222"/>
    </row>
    <row r="14" spans="1:10" ht="12.75">
      <c r="A14" s="259"/>
      <c r="B14" s="260"/>
      <c r="C14" s="260"/>
      <c r="D14" s="260"/>
      <c r="E14" s="260"/>
      <c r="F14" s="260"/>
      <c r="G14" s="260"/>
      <c r="H14" s="260"/>
      <c r="I14" s="260"/>
      <c r="J14" s="261"/>
    </row>
  </sheetData>
  <mergeCells count="16">
    <mergeCell ref="A1:H2"/>
    <mergeCell ref="I1:J2"/>
    <mergeCell ref="A3:A4"/>
    <mergeCell ref="B3:F4"/>
    <mergeCell ref="G3:G4"/>
    <mergeCell ref="H3:H4"/>
    <mergeCell ref="I3:I4"/>
    <mergeCell ref="J3:J4"/>
    <mergeCell ref="A11:I11"/>
    <mergeCell ref="A13:J13"/>
    <mergeCell ref="B5:F5"/>
    <mergeCell ref="B6:F6"/>
    <mergeCell ref="B7:F7"/>
    <mergeCell ref="A8:J8"/>
    <mergeCell ref="A9:I9"/>
    <mergeCell ref="A10:I10"/>
  </mergeCells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&amp;CEng Darcibel Silva Ramos-Crea-MT04576/D-RN:1201486998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6" workbookViewId="0">
      <selection activeCell="C45" sqref="C45"/>
    </sheetView>
  </sheetViews>
  <sheetFormatPr defaultRowHeight="13.5"/>
  <cols>
    <col min="1" max="1" width="9.140625" style="262"/>
    <col min="2" max="7" width="9.140625" style="263"/>
    <col min="8" max="8" width="9.140625" style="264"/>
    <col min="9" max="10" width="9.140625" style="265"/>
  </cols>
  <sheetData>
    <row r="1" spans="1:10" ht="12.75">
      <c r="A1" s="1234" t="s">
        <v>273</v>
      </c>
      <c r="B1" s="1235"/>
      <c r="C1" s="1235"/>
      <c r="D1" s="1235"/>
      <c r="E1" s="1235"/>
      <c r="F1" s="1235"/>
      <c r="G1" s="1235"/>
      <c r="H1" s="1236"/>
      <c r="I1" s="1240" t="s">
        <v>259</v>
      </c>
      <c r="J1" s="1236"/>
    </row>
    <row r="2" spans="1:10" ht="12.75">
      <c r="A2" s="1237"/>
      <c r="B2" s="1238"/>
      <c r="C2" s="1238"/>
      <c r="D2" s="1238"/>
      <c r="E2" s="1238"/>
      <c r="F2" s="1238"/>
      <c r="G2" s="1238"/>
      <c r="H2" s="1239"/>
      <c r="I2" s="1237"/>
      <c r="J2" s="1239"/>
    </row>
    <row r="3" spans="1:10" ht="12.75">
      <c r="A3" s="1241" t="s">
        <v>260</v>
      </c>
      <c r="B3" s="1243" t="s">
        <v>261</v>
      </c>
      <c r="C3" s="1244"/>
      <c r="D3" s="1244"/>
      <c r="E3" s="1244"/>
      <c r="F3" s="1244"/>
      <c r="G3" s="1241" t="s">
        <v>262</v>
      </c>
      <c r="H3" s="1247" t="s">
        <v>263</v>
      </c>
      <c r="I3" s="1243" t="s">
        <v>264</v>
      </c>
      <c r="J3" s="1241" t="s">
        <v>265</v>
      </c>
    </row>
    <row r="4" spans="1:10" ht="12.75">
      <c r="A4" s="1242"/>
      <c r="B4" s="1245"/>
      <c r="C4" s="1246"/>
      <c r="D4" s="1246"/>
      <c r="E4" s="1246"/>
      <c r="F4" s="1246"/>
      <c r="G4" s="1242"/>
      <c r="H4" s="1248"/>
      <c r="I4" s="1249"/>
      <c r="J4" s="1242"/>
    </row>
    <row r="5" spans="1:10" ht="12.75" customHeight="1">
      <c r="A5" s="245" t="s">
        <v>274</v>
      </c>
      <c r="B5" s="1258" t="s">
        <v>275</v>
      </c>
      <c r="C5" s="1259"/>
      <c r="D5" s="1259"/>
      <c r="E5" s="1259"/>
      <c r="F5" s="1260"/>
      <c r="G5" s="1261"/>
      <c r="H5" s="1262"/>
      <c r="I5" s="1262"/>
      <c r="J5" s="1263"/>
    </row>
    <row r="6" spans="1:10" ht="12.75" customHeight="1">
      <c r="A6" s="245" t="s">
        <v>276</v>
      </c>
      <c r="B6" s="246" t="s">
        <v>277</v>
      </c>
      <c r="C6" s="247"/>
      <c r="D6" s="247"/>
      <c r="E6" s="247"/>
      <c r="F6" s="248"/>
      <c r="G6" s="249" t="s">
        <v>278</v>
      </c>
      <c r="H6" s="250">
        <v>40</v>
      </c>
      <c r="I6" s="266">
        <v>351.12</v>
      </c>
      <c r="J6" s="251">
        <f>H6*I6</f>
        <v>14044.8</v>
      </c>
    </row>
    <row r="7" spans="1:10" ht="12.75" customHeight="1">
      <c r="A7" s="245" t="s">
        <v>279</v>
      </c>
      <c r="B7" s="246" t="s">
        <v>280</v>
      </c>
      <c r="C7" s="247"/>
      <c r="D7" s="247"/>
      <c r="E7" s="247"/>
      <c r="F7" s="248"/>
      <c r="G7" s="249" t="s">
        <v>278</v>
      </c>
      <c r="H7" s="250">
        <v>9</v>
      </c>
      <c r="I7" s="266">
        <v>263.33999999999997</v>
      </c>
      <c r="J7" s="251">
        <f>H7*I7</f>
        <v>2370.06</v>
      </c>
    </row>
    <row r="8" spans="1:10" ht="12.75" customHeight="1">
      <c r="A8" s="245" t="s">
        <v>281</v>
      </c>
      <c r="B8" s="246" t="s">
        <v>282</v>
      </c>
      <c r="C8" s="247"/>
      <c r="D8" s="247"/>
      <c r="E8" s="247"/>
      <c r="F8" s="248"/>
      <c r="G8" s="249" t="s">
        <v>283</v>
      </c>
      <c r="H8" s="250">
        <v>10</v>
      </c>
      <c r="I8" s="266">
        <f>(I6+I7)*0.1</f>
        <v>61.446000000000005</v>
      </c>
      <c r="J8" s="251">
        <f>(J6+J7)*0.1</f>
        <v>1641.4860000000001</v>
      </c>
    </row>
    <row r="9" spans="1:10" ht="12.75" customHeight="1">
      <c r="A9" s="245" t="s">
        <v>284</v>
      </c>
      <c r="B9" s="1250" t="s">
        <v>285</v>
      </c>
      <c r="C9" s="1251"/>
      <c r="D9" s="1251"/>
      <c r="E9" s="1251"/>
      <c r="F9" s="1252"/>
      <c r="G9" s="1253"/>
      <c r="H9" s="1254"/>
      <c r="I9" s="1254"/>
      <c r="J9" s="1255"/>
    </row>
    <row r="10" spans="1:10" ht="12.75" customHeight="1">
      <c r="A10" s="245" t="s">
        <v>286</v>
      </c>
      <c r="B10" s="246" t="s">
        <v>287</v>
      </c>
      <c r="C10" s="247"/>
      <c r="D10" s="247"/>
      <c r="E10" s="247"/>
      <c r="F10" s="248"/>
      <c r="G10" s="249" t="s">
        <v>278</v>
      </c>
      <c r="H10" s="250">
        <v>74</v>
      </c>
      <c r="I10" s="266">
        <v>526.67999999999995</v>
      </c>
      <c r="J10" s="251">
        <f>H10*I10</f>
        <v>38974.32</v>
      </c>
    </row>
    <row r="11" spans="1:10" ht="12.75" customHeight="1">
      <c r="A11" s="245" t="s">
        <v>288</v>
      </c>
      <c r="B11" s="246" t="s">
        <v>289</v>
      </c>
      <c r="C11" s="247"/>
      <c r="D11" s="247"/>
      <c r="E11" s="247"/>
      <c r="F11" s="248"/>
      <c r="G11" s="249" t="s">
        <v>278</v>
      </c>
      <c r="H11" s="250">
        <v>46</v>
      </c>
      <c r="I11" s="266">
        <v>526.67999999999995</v>
      </c>
      <c r="J11" s="251">
        <f>H11*I11</f>
        <v>24227.279999999999</v>
      </c>
    </row>
    <row r="12" spans="1:10" ht="12.75" customHeight="1">
      <c r="A12" s="245" t="s">
        <v>281</v>
      </c>
      <c r="B12" s="246" t="s">
        <v>282</v>
      </c>
      <c r="C12" s="247"/>
      <c r="D12" s="247"/>
      <c r="E12" s="247"/>
      <c r="F12" s="248"/>
      <c r="G12" s="249" t="s">
        <v>283</v>
      </c>
      <c r="H12" s="250">
        <v>20</v>
      </c>
      <c r="I12" s="266">
        <f>(I10+I11)*0.2</f>
        <v>210.672</v>
      </c>
      <c r="J12" s="251">
        <f>(J10+J11)*0.2</f>
        <v>12640.32</v>
      </c>
    </row>
    <row r="13" spans="1:10" ht="12.75" customHeight="1">
      <c r="A13" s="245" t="s">
        <v>290</v>
      </c>
      <c r="B13" s="1250" t="s">
        <v>291</v>
      </c>
      <c r="C13" s="1251"/>
      <c r="D13" s="1251"/>
      <c r="E13" s="1251"/>
      <c r="F13" s="1252"/>
      <c r="G13" s="1253"/>
      <c r="H13" s="1254"/>
      <c r="I13" s="1254"/>
      <c r="J13" s="1255"/>
    </row>
    <row r="14" spans="1:10" ht="12.75" customHeight="1">
      <c r="A14" s="245" t="s">
        <v>292</v>
      </c>
      <c r="B14" s="246" t="s">
        <v>293</v>
      </c>
      <c r="C14" s="247"/>
      <c r="D14" s="247"/>
      <c r="E14" s="247"/>
      <c r="F14" s="248"/>
      <c r="G14" s="249" t="s">
        <v>278</v>
      </c>
      <c r="H14" s="250">
        <v>116</v>
      </c>
      <c r="I14" s="266">
        <v>351.12</v>
      </c>
      <c r="J14" s="251">
        <f>H14*I14</f>
        <v>40729.919999999998</v>
      </c>
    </row>
    <row r="15" spans="1:10" ht="12.75" customHeight="1">
      <c r="A15" s="245" t="s">
        <v>294</v>
      </c>
      <c r="B15" s="246" t="s">
        <v>295</v>
      </c>
      <c r="C15" s="247"/>
      <c r="D15" s="247"/>
      <c r="E15" s="247"/>
      <c r="F15" s="248"/>
      <c r="G15" s="249" t="s">
        <v>278</v>
      </c>
      <c r="H15" s="250">
        <v>80</v>
      </c>
      <c r="I15" s="266">
        <v>263.33999999999997</v>
      </c>
      <c r="J15" s="251">
        <f>H15*I15</f>
        <v>21067.199999999997</v>
      </c>
    </row>
    <row r="16" spans="1:10" ht="12.75" customHeight="1">
      <c r="A16" s="245" t="s">
        <v>294</v>
      </c>
      <c r="B16" s="246" t="s">
        <v>296</v>
      </c>
      <c r="C16" s="247"/>
      <c r="D16" s="247"/>
      <c r="E16" s="247"/>
      <c r="F16" s="248"/>
      <c r="G16" s="249" t="s">
        <v>278</v>
      </c>
      <c r="H16" s="250">
        <v>12</v>
      </c>
      <c r="I16" s="266">
        <v>263.33999999999997</v>
      </c>
      <c r="J16" s="251">
        <f>H16*I16</f>
        <v>3160.08</v>
      </c>
    </row>
    <row r="17" spans="1:10" ht="12.75" customHeight="1">
      <c r="A17" s="245" t="s">
        <v>281</v>
      </c>
      <c r="B17" s="246" t="s">
        <v>282</v>
      </c>
      <c r="C17" s="247"/>
      <c r="D17" s="247"/>
      <c r="E17" s="247"/>
      <c r="F17" s="248"/>
      <c r="G17" s="249" t="s">
        <v>283</v>
      </c>
      <c r="H17" s="250">
        <v>30</v>
      </c>
      <c r="I17" s="266">
        <f>(I14+I15+I16)*0.3</f>
        <v>263.33999999999997</v>
      </c>
      <c r="J17" s="251">
        <f>(J14+J15+J16)*0.3</f>
        <v>19487.16</v>
      </c>
    </row>
    <row r="18" spans="1:10" ht="12.75" customHeight="1">
      <c r="A18" s="245" t="s">
        <v>297</v>
      </c>
      <c r="B18" s="1250" t="s">
        <v>298</v>
      </c>
      <c r="C18" s="1251"/>
      <c r="D18" s="1251"/>
      <c r="E18" s="1251"/>
      <c r="F18" s="1252"/>
      <c r="G18" s="1253"/>
      <c r="H18" s="1254"/>
      <c r="I18" s="1254"/>
      <c r="J18" s="1255"/>
    </row>
    <row r="19" spans="1:10" ht="12.75" customHeight="1">
      <c r="A19" s="245" t="s">
        <v>299</v>
      </c>
      <c r="B19" s="246" t="s">
        <v>300</v>
      </c>
      <c r="C19" s="247"/>
      <c r="D19" s="247"/>
      <c r="E19" s="247"/>
      <c r="F19" s="248"/>
      <c r="G19" s="249" t="s">
        <v>43</v>
      </c>
      <c r="H19" s="250">
        <v>1</v>
      </c>
      <c r="I19" s="267" t="s">
        <v>301</v>
      </c>
      <c r="J19" s="267" t="s">
        <v>301</v>
      </c>
    </row>
    <row r="20" spans="1:10" ht="12.75" customHeight="1">
      <c r="A20" s="245" t="s">
        <v>302</v>
      </c>
      <c r="B20" s="246" t="s">
        <v>303</v>
      </c>
      <c r="C20" s="247"/>
      <c r="D20" s="247"/>
      <c r="E20" s="247"/>
      <c r="F20" s="248"/>
      <c r="G20" s="249" t="s">
        <v>43</v>
      </c>
      <c r="H20" s="250">
        <v>1</v>
      </c>
      <c r="I20" s="267" t="s">
        <v>301</v>
      </c>
      <c r="J20" s="267" t="s">
        <v>301</v>
      </c>
    </row>
    <row r="21" spans="1:10" ht="12.75" customHeight="1">
      <c r="A21" s="245" t="s">
        <v>304</v>
      </c>
      <c r="B21" s="246" t="s">
        <v>305</v>
      </c>
      <c r="C21" s="247"/>
      <c r="D21" s="247"/>
      <c r="E21" s="247"/>
      <c r="F21" s="248"/>
      <c r="G21" s="249" t="s">
        <v>43</v>
      </c>
      <c r="H21" s="250">
        <v>1</v>
      </c>
      <c r="I21" s="267" t="s">
        <v>301</v>
      </c>
      <c r="J21" s="267" t="s">
        <v>301</v>
      </c>
    </row>
    <row r="22" spans="1:10" ht="12.75" customHeight="1">
      <c r="A22" s="245" t="s">
        <v>306</v>
      </c>
      <c r="B22" s="1223" t="s">
        <v>307</v>
      </c>
      <c r="C22" s="1224"/>
      <c r="D22" s="1224"/>
      <c r="E22" s="1224"/>
      <c r="F22" s="1225"/>
      <c r="G22" s="249" t="s">
        <v>43</v>
      </c>
      <c r="H22" s="250">
        <v>1</v>
      </c>
      <c r="I22" s="267">
        <v>7600</v>
      </c>
      <c r="J22" s="251">
        <f>H22*I22</f>
        <v>7600</v>
      </c>
    </row>
    <row r="23" spans="1:10" ht="12.75" customHeight="1">
      <c r="A23" s="245" t="s">
        <v>308</v>
      </c>
      <c r="B23" s="1223" t="s">
        <v>309</v>
      </c>
      <c r="C23" s="1224"/>
      <c r="D23" s="1224"/>
      <c r="E23" s="1224"/>
      <c r="F23" s="1225"/>
      <c r="G23" s="249" t="s">
        <v>43</v>
      </c>
      <c r="H23" s="250">
        <v>1</v>
      </c>
      <c r="I23" s="268" t="s">
        <v>301</v>
      </c>
      <c r="J23" s="268" t="s">
        <v>301</v>
      </c>
    </row>
    <row r="24" spans="1:10" ht="12.75" customHeight="1">
      <c r="A24" s="245" t="s">
        <v>474</v>
      </c>
      <c r="B24" s="1223" t="s">
        <v>310</v>
      </c>
      <c r="C24" s="1224"/>
      <c r="D24" s="1224"/>
      <c r="E24" s="1224"/>
      <c r="F24" s="1225"/>
      <c r="G24" s="253" t="s">
        <v>10</v>
      </c>
      <c r="H24" s="250">
        <v>360</v>
      </c>
      <c r="I24" s="269">
        <v>19.809999999999999</v>
      </c>
      <c r="J24" s="251">
        <f>H24*I24</f>
        <v>7131.5999999999995</v>
      </c>
    </row>
    <row r="25" spans="1:10" ht="12.75" customHeight="1">
      <c r="A25" s="245" t="s">
        <v>311</v>
      </c>
      <c r="B25" s="1250" t="s">
        <v>312</v>
      </c>
      <c r="C25" s="1251"/>
      <c r="D25" s="1251"/>
      <c r="E25" s="1251"/>
      <c r="F25" s="1252"/>
      <c r="G25" s="1253"/>
      <c r="H25" s="1254"/>
      <c r="I25" s="1254"/>
      <c r="J25" s="1255"/>
    </row>
    <row r="26" spans="1:10" ht="12.75" customHeight="1">
      <c r="A26" s="245" t="s">
        <v>313</v>
      </c>
      <c r="B26" s="246" t="s">
        <v>314</v>
      </c>
      <c r="C26" s="247"/>
      <c r="D26" s="247"/>
      <c r="E26" s="247"/>
      <c r="F26" s="248"/>
      <c r="G26" s="249" t="s">
        <v>43</v>
      </c>
      <c r="H26" s="250">
        <v>1</v>
      </c>
      <c r="I26" s="267" t="s">
        <v>301</v>
      </c>
      <c r="J26" s="267" t="s">
        <v>301</v>
      </c>
    </row>
    <row r="27" spans="1:10" ht="12.75" customHeight="1">
      <c r="A27" s="245" t="s">
        <v>315</v>
      </c>
      <c r="B27" s="246" t="s">
        <v>316</v>
      </c>
      <c r="C27" s="247"/>
      <c r="D27" s="247"/>
      <c r="E27" s="247"/>
      <c r="F27" s="248"/>
      <c r="G27" s="249" t="s">
        <v>43</v>
      </c>
      <c r="H27" s="250">
        <v>1</v>
      </c>
      <c r="I27" s="267" t="s">
        <v>301</v>
      </c>
      <c r="J27" s="267" t="s">
        <v>301</v>
      </c>
    </row>
    <row r="28" spans="1:10" ht="12.75" customHeight="1">
      <c r="A28" s="245" t="s">
        <v>317</v>
      </c>
      <c r="B28" s="246" t="s">
        <v>318</v>
      </c>
      <c r="C28" s="247"/>
      <c r="D28" s="247"/>
      <c r="E28" s="247"/>
      <c r="F28" s="248"/>
      <c r="G28" s="249" t="s">
        <v>43</v>
      </c>
      <c r="H28" s="250">
        <v>1</v>
      </c>
      <c r="I28" s="267" t="s">
        <v>301</v>
      </c>
      <c r="J28" s="267" t="s">
        <v>301</v>
      </c>
    </row>
    <row r="29" spans="1:10" ht="12.75" customHeight="1">
      <c r="A29" s="245" t="s">
        <v>319</v>
      </c>
      <c r="B29" s="1223" t="s">
        <v>320</v>
      </c>
      <c r="C29" s="1224"/>
      <c r="D29" s="1224"/>
      <c r="E29" s="1224"/>
      <c r="F29" s="1225"/>
      <c r="G29" s="249" t="s">
        <v>43</v>
      </c>
      <c r="H29" s="250">
        <v>1</v>
      </c>
      <c r="I29" s="267" t="s">
        <v>301</v>
      </c>
      <c r="J29" s="267" t="s">
        <v>301</v>
      </c>
    </row>
    <row r="30" spans="1:10" ht="12.75" customHeight="1">
      <c r="A30" s="245" t="s">
        <v>321</v>
      </c>
      <c r="B30" s="1223" t="s">
        <v>322</v>
      </c>
      <c r="C30" s="1224"/>
      <c r="D30" s="1224"/>
      <c r="E30" s="1224"/>
      <c r="F30" s="1225"/>
      <c r="G30" s="249" t="s">
        <v>43</v>
      </c>
      <c r="H30" s="250">
        <v>1</v>
      </c>
      <c r="I30" s="268" t="s">
        <v>301</v>
      </c>
      <c r="J30" s="268" t="s">
        <v>301</v>
      </c>
    </row>
    <row r="31" spans="1:10" ht="12.75" customHeight="1">
      <c r="A31" s="270" t="s">
        <v>323</v>
      </c>
      <c r="B31" s="1226" t="s">
        <v>324</v>
      </c>
      <c r="C31" s="1227"/>
      <c r="D31" s="1227"/>
      <c r="E31" s="1227"/>
      <c r="F31" s="1228"/>
      <c r="G31" s="271" t="s">
        <v>43</v>
      </c>
      <c r="H31" s="272">
        <v>1</v>
      </c>
      <c r="I31" s="273" t="s">
        <v>301</v>
      </c>
      <c r="J31" s="273" t="s">
        <v>301</v>
      </c>
    </row>
    <row r="32" spans="1:10" ht="12.75">
      <c r="A32" s="1229"/>
      <c r="B32" s="1230"/>
      <c r="C32" s="1230"/>
      <c r="D32" s="1230"/>
      <c r="E32" s="1230"/>
      <c r="F32" s="1230"/>
      <c r="G32" s="1230"/>
      <c r="H32" s="1230"/>
      <c r="I32" s="1230"/>
      <c r="J32" s="1231"/>
    </row>
    <row r="33" spans="1:10">
      <c r="A33" s="1256" t="s">
        <v>325</v>
      </c>
      <c r="B33" s="1257"/>
      <c r="C33" s="1257"/>
      <c r="D33" s="1257"/>
      <c r="E33" s="1257"/>
      <c r="F33" s="1257"/>
      <c r="G33" s="1257"/>
      <c r="H33" s="1257"/>
      <c r="I33" s="1257"/>
      <c r="J33" s="274">
        <f>J6+J7+J8+J10+J11+J12+J14+J15+J16+J17+J22+J24</f>
        <v>193074.226</v>
      </c>
    </row>
    <row r="34" spans="1:10">
      <c r="A34" s="1232" t="s">
        <v>326</v>
      </c>
      <c r="B34" s="1232"/>
      <c r="C34" s="1232"/>
      <c r="D34" s="1232"/>
      <c r="E34" s="1232"/>
      <c r="F34" s="1232"/>
      <c r="G34" s="1232"/>
      <c r="H34" s="1233"/>
      <c r="I34" s="1233"/>
      <c r="J34" s="254">
        <v>0</v>
      </c>
    </row>
    <row r="35" spans="1:10">
      <c r="A35" s="1218" t="s">
        <v>272</v>
      </c>
      <c r="B35" s="1218"/>
      <c r="C35" s="1218"/>
      <c r="D35" s="1218"/>
      <c r="E35" s="1218"/>
      <c r="F35" s="1218"/>
      <c r="G35" s="1218"/>
      <c r="H35" s="1219"/>
      <c r="I35" s="1219"/>
      <c r="J35" s="254">
        <v>0</v>
      </c>
    </row>
    <row r="36" spans="1:10" ht="12.75">
      <c r="A36" s="255"/>
      <c r="B36" s="256"/>
      <c r="C36" s="256"/>
      <c r="D36" s="256"/>
      <c r="E36" s="256"/>
      <c r="F36" s="256"/>
      <c r="G36" s="256"/>
      <c r="H36" s="257"/>
      <c r="I36" s="256"/>
      <c r="J36" s="258"/>
    </row>
    <row r="37" spans="1:10" ht="12.75">
      <c r="A37" s="1220"/>
      <c r="B37" s="1221"/>
      <c r="C37" s="1221"/>
      <c r="D37" s="1221"/>
      <c r="E37" s="1221"/>
      <c r="F37" s="1221"/>
      <c r="G37" s="1221"/>
      <c r="H37" s="1221"/>
      <c r="I37" s="1221"/>
      <c r="J37" s="1222"/>
    </row>
    <row r="38" spans="1:10" ht="12.75">
      <c r="A38" s="259"/>
      <c r="B38" s="260"/>
      <c r="C38" s="260"/>
      <c r="D38" s="260"/>
      <c r="E38" s="260"/>
      <c r="F38" s="260"/>
      <c r="G38" s="260"/>
      <c r="H38" s="260"/>
      <c r="I38" s="260"/>
      <c r="J38" s="261"/>
    </row>
  </sheetData>
  <mergeCells count="29">
    <mergeCell ref="A1:H2"/>
    <mergeCell ref="I1:J2"/>
    <mergeCell ref="A3:A4"/>
    <mergeCell ref="B3:F4"/>
    <mergeCell ref="G3:G4"/>
    <mergeCell ref="H3:H4"/>
    <mergeCell ref="I3:I4"/>
    <mergeCell ref="J3:J4"/>
    <mergeCell ref="B5:F5"/>
    <mergeCell ref="G5:J5"/>
    <mergeCell ref="B9:F9"/>
    <mergeCell ref="G9:J9"/>
    <mergeCell ref="B13:F13"/>
    <mergeCell ref="G13:J13"/>
    <mergeCell ref="B18:F18"/>
    <mergeCell ref="G18:J18"/>
    <mergeCell ref="B22:F22"/>
    <mergeCell ref="B23:F23"/>
    <mergeCell ref="B24:F24"/>
    <mergeCell ref="B25:F25"/>
    <mergeCell ref="G25:J25"/>
    <mergeCell ref="A35:I35"/>
    <mergeCell ref="A37:J37"/>
    <mergeCell ref="B29:F29"/>
    <mergeCell ref="B30:F30"/>
    <mergeCell ref="B31:F31"/>
    <mergeCell ref="A32:J32"/>
    <mergeCell ref="A33:I33"/>
    <mergeCell ref="A34:I34"/>
  </mergeCells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&amp;CEng Darcibel Silva Ramos-Crea-MT04576/D-RN:1201486998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A13" workbookViewId="0">
      <selection activeCell="I37" sqref="I37"/>
    </sheetView>
  </sheetViews>
  <sheetFormatPr defaultRowHeight="13.5"/>
  <cols>
    <col min="1" max="1" width="9.140625" style="262"/>
    <col min="2" max="7" width="9.140625" style="263"/>
    <col min="8" max="8" width="9.140625" style="264"/>
    <col min="9" max="10" width="9.140625" style="265"/>
  </cols>
  <sheetData>
    <row r="1" spans="1:10" ht="12.75">
      <c r="A1" s="1234" t="s">
        <v>327</v>
      </c>
      <c r="B1" s="1235"/>
      <c r="C1" s="1235"/>
      <c r="D1" s="1235"/>
      <c r="E1" s="1235"/>
      <c r="F1" s="1235"/>
      <c r="G1" s="1235"/>
      <c r="H1" s="1236"/>
      <c r="I1" s="1240" t="s">
        <v>259</v>
      </c>
      <c r="J1" s="1236"/>
    </row>
    <row r="2" spans="1:10" ht="12.75">
      <c r="A2" s="1237"/>
      <c r="B2" s="1238"/>
      <c r="C2" s="1238"/>
      <c r="D2" s="1238"/>
      <c r="E2" s="1238"/>
      <c r="F2" s="1238"/>
      <c r="G2" s="1238"/>
      <c r="H2" s="1239"/>
      <c r="I2" s="1237"/>
      <c r="J2" s="1239"/>
    </row>
    <row r="3" spans="1:10" ht="12.75">
      <c r="A3" s="1241" t="s">
        <v>260</v>
      </c>
      <c r="B3" s="1243" t="s">
        <v>261</v>
      </c>
      <c r="C3" s="1244"/>
      <c r="D3" s="1244"/>
      <c r="E3" s="1244"/>
      <c r="F3" s="1244"/>
      <c r="G3" s="1241" t="s">
        <v>262</v>
      </c>
      <c r="H3" s="1247" t="s">
        <v>263</v>
      </c>
      <c r="I3" s="1243" t="s">
        <v>264</v>
      </c>
      <c r="J3" s="1241" t="s">
        <v>265</v>
      </c>
    </row>
    <row r="4" spans="1:10" ht="12.75">
      <c r="A4" s="1242"/>
      <c r="B4" s="1245"/>
      <c r="C4" s="1246"/>
      <c r="D4" s="1246"/>
      <c r="E4" s="1246"/>
      <c r="F4" s="1246"/>
      <c r="G4" s="1242"/>
      <c r="H4" s="1248"/>
      <c r="I4" s="1249"/>
      <c r="J4" s="1242"/>
    </row>
    <row r="5" spans="1:10" ht="12.75">
      <c r="A5" s="245"/>
      <c r="B5" s="1258" t="s">
        <v>328</v>
      </c>
      <c r="C5" s="1259"/>
      <c r="D5" s="1259"/>
      <c r="E5" s="1259"/>
      <c r="F5" s="1260"/>
      <c r="G5" s="1261"/>
      <c r="H5" s="1262"/>
      <c r="I5" s="1262"/>
      <c r="J5" s="1263"/>
    </row>
    <row r="6" spans="1:10" ht="12.75">
      <c r="A6" s="245" t="s">
        <v>329</v>
      </c>
      <c r="B6" s="246" t="s">
        <v>330</v>
      </c>
      <c r="C6" s="247"/>
      <c r="D6" s="247"/>
      <c r="E6" s="247"/>
      <c r="F6" s="248"/>
      <c r="G6" s="249" t="s">
        <v>278</v>
      </c>
      <c r="H6" s="275" t="s">
        <v>301</v>
      </c>
      <c r="I6" s="275" t="s">
        <v>301</v>
      </c>
      <c r="J6" s="275" t="s">
        <v>301</v>
      </c>
    </row>
    <row r="7" spans="1:10" ht="12.75">
      <c r="A7" s="245" t="s">
        <v>331</v>
      </c>
      <c r="B7" s="246" t="s">
        <v>332</v>
      </c>
      <c r="C7" s="247"/>
      <c r="D7" s="247"/>
      <c r="E7" s="247"/>
      <c r="F7" s="248"/>
      <c r="G7" s="249" t="s">
        <v>278</v>
      </c>
      <c r="H7" s="250">
        <v>220</v>
      </c>
      <c r="I7" s="275">
        <v>526.67999999999995</v>
      </c>
      <c r="J7" s="275">
        <f>I7*H7</f>
        <v>115869.59999999999</v>
      </c>
    </row>
    <row r="8" spans="1:10" ht="12.75">
      <c r="A8" s="245" t="s">
        <v>333</v>
      </c>
      <c r="B8" s="246" t="s">
        <v>334</v>
      </c>
      <c r="C8" s="247"/>
      <c r="D8" s="247"/>
      <c r="E8" s="247"/>
      <c r="F8" s="248"/>
      <c r="G8" s="249" t="s">
        <v>278</v>
      </c>
      <c r="H8" s="275" t="s">
        <v>301</v>
      </c>
      <c r="I8" s="275" t="s">
        <v>301</v>
      </c>
      <c r="J8" s="275" t="s">
        <v>301</v>
      </c>
    </row>
    <row r="9" spans="1:10" ht="12.75">
      <c r="A9" s="245" t="s">
        <v>335</v>
      </c>
      <c r="B9" s="246" t="s">
        <v>336</v>
      </c>
      <c r="C9" s="247"/>
      <c r="D9" s="247"/>
      <c r="E9" s="247"/>
      <c r="F9" s="248"/>
      <c r="G9" s="249" t="s">
        <v>278</v>
      </c>
      <c r="H9" s="275" t="s">
        <v>301</v>
      </c>
      <c r="I9" s="275" t="s">
        <v>301</v>
      </c>
      <c r="J9" s="275" t="s">
        <v>301</v>
      </c>
    </row>
    <row r="10" spans="1:10" ht="12.75">
      <c r="A10" s="245" t="s">
        <v>337</v>
      </c>
      <c r="B10" s="246" t="s">
        <v>338</v>
      </c>
      <c r="C10" s="247"/>
      <c r="D10" s="247"/>
      <c r="E10" s="247"/>
      <c r="F10" s="248"/>
      <c r="G10" s="249" t="s">
        <v>278</v>
      </c>
      <c r="H10" s="275" t="s">
        <v>301</v>
      </c>
      <c r="I10" s="275" t="s">
        <v>301</v>
      </c>
      <c r="J10" s="275" t="s">
        <v>301</v>
      </c>
    </row>
    <row r="11" spans="1:10" ht="12.75">
      <c r="A11" s="245" t="s">
        <v>339</v>
      </c>
      <c r="B11" s="246" t="s">
        <v>340</v>
      </c>
      <c r="C11" s="247"/>
      <c r="D11" s="247"/>
      <c r="E11" s="247"/>
      <c r="F11" s="248"/>
      <c r="G11" s="249" t="s">
        <v>278</v>
      </c>
      <c r="H11" s="250">
        <v>14</v>
      </c>
      <c r="I11" s="275">
        <v>526.67999999999995</v>
      </c>
      <c r="J11" s="275">
        <f>I11*H11</f>
        <v>7373.5199999999995</v>
      </c>
    </row>
    <row r="12" spans="1:10" ht="12.75">
      <c r="A12" s="245" t="s">
        <v>341</v>
      </c>
      <c r="B12" s="246" t="s">
        <v>342</v>
      </c>
      <c r="C12" s="247"/>
      <c r="D12" s="247"/>
      <c r="E12" s="247"/>
      <c r="F12" s="248"/>
      <c r="G12" s="249" t="s">
        <v>278</v>
      </c>
      <c r="H12" s="250">
        <v>4</v>
      </c>
      <c r="I12" s="275">
        <v>351.12</v>
      </c>
      <c r="J12" s="275">
        <f>I12*H12</f>
        <v>1404.48</v>
      </c>
    </row>
    <row r="13" spans="1:10" ht="12.75">
      <c r="A13" s="245" t="s">
        <v>281</v>
      </c>
      <c r="B13" s="246" t="s">
        <v>282</v>
      </c>
      <c r="C13" s="247"/>
      <c r="D13" s="247"/>
      <c r="E13" s="247"/>
      <c r="F13" s="248"/>
      <c r="G13" s="249" t="s">
        <v>283</v>
      </c>
      <c r="H13" s="276">
        <v>35</v>
      </c>
      <c r="I13" s="275">
        <f>(I7+I11+I12)*0.35</f>
        <v>491.56799999999998</v>
      </c>
      <c r="J13" s="275">
        <f>SUM(J7:J12)*35%</f>
        <v>43626.659999999996</v>
      </c>
    </row>
    <row r="14" spans="1:10" ht="12.75">
      <c r="A14" s="1229"/>
      <c r="B14" s="1230"/>
      <c r="C14" s="1230"/>
      <c r="D14" s="1230"/>
      <c r="E14" s="1230"/>
      <c r="F14" s="1230"/>
      <c r="G14" s="1230"/>
      <c r="H14" s="1230"/>
      <c r="I14" s="1230"/>
      <c r="J14" s="1231"/>
    </row>
    <row r="15" spans="1:10">
      <c r="A15" s="1256" t="s">
        <v>325</v>
      </c>
      <c r="B15" s="1257"/>
      <c r="C15" s="1257"/>
      <c r="D15" s="1257"/>
      <c r="E15" s="1257"/>
      <c r="F15" s="1257"/>
      <c r="G15" s="1257"/>
      <c r="H15" s="1257"/>
      <c r="I15" s="1257"/>
      <c r="J15" s="274">
        <f>SUM(J6:J13)</f>
        <v>168274.25999999998</v>
      </c>
    </row>
    <row r="16" spans="1:10">
      <c r="A16" s="1232" t="s">
        <v>326</v>
      </c>
      <c r="B16" s="1232"/>
      <c r="C16" s="1232"/>
      <c r="D16" s="1232"/>
      <c r="E16" s="1232"/>
      <c r="F16" s="1232"/>
      <c r="G16" s="1232"/>
      <c r="H16" s="1233"/>
      <c r="I16" s="1233"/>
      <c r="J16" s="254">
        <v>0</v>
      </c>
    </row>
    <row r="17" spans="1:10">
      <c r="A17" s="1218" t="s">
        <v>272</v>
      </c>
      <c r="B17" s="1218"/>
      <c r="C17" s="1218"/>
      <c r="D17" s="1218"/>
      <c r="E17" s="1218"/>
      <c r="F17" s="1218"/>
      <c r="G17" s="1218"/>
      <c r="H17" s="1219"/>
      <c r="I17" s="1219"/>
      <c r="J17" s="254">
        <v>0</v>
      </c>
    </row>
    <row r="18" spans="1:10" ht="12.75">
      <c r="A18" s="255"/>
      <c r="B18" s="256"/>
      <c r="C18" s="256"/>
      <c r="D18" s="256"/>
      <c r="E18" s="256"/>
      <c r="F18" s="256"/>
      <c r="G18" s="256"/>
      <c r="H18" s="257"/>
      <c r="I18" s="256"/>
      <c r="J18" s="258"/>
    </row>
    <row r="19" spans="1:10" ht="12.75">
      <c r="A19" s="1220"/>
      <c r="B19" s="1221"/>
      <c r="C19" s="1221"/>
      <c r="D19" s="1221"/>
      <c r="E19" s="1221"/>
      <c r="F19" s="1221"/>
      <c r="G19" s="1221"/>
      <c r="H19" s="1221"/>
      <c r="I19" s="1221"/>
      <c r="J19" s="1222"/>
    </row>
    <row r="20" spans="1:10" ht="12.75">
      <c r="A20" s="259"/>
      <c r="B20" s="260"/>
      <c r="C20" s="260"/>
      <c r="D20" s="260"/>
      <c r="E20" s="260"/>
      <c r="F20" s="260"/>
      <c r="G20" s="260"/>
      <c r="H20" s="260"/>
      <c r="I20" s="260"/>
      <c r="J20" s="261"/>
    </row>
  </sheetData>
  <mergeCells count="15">
    <mergeCell ref="A1:H2"/>
    <mergeCell ref="I1:J2"/>
    <mergeCell ref="A3:A4"/>
    <mergeCell ref="B3:F4"/>
    <mergeCell ref="G3:G4"/>
    <mergeCell ref="H3:H4"/>
    <mergeCell ref="I3:I4"/>
    <mergeCell ref="J3:J4"/>
    <mergeCell ref="A19:J19"/>
    <mergeCell ref="B5:F5"/>
    <mergeCell ref="G5:J5"/>
    <mergeCell ref="A14:J14"/>
    <mergeCell ref="A15:I15"/>
    <mergeCell ref="A16:I16"/>
    <mergeCell ref="A17:I17"/>
  </mergeCells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&amp;CEng Darcibel Silva Ramos-Crea-MT04576/D-RN:1201486998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31</vt:i4>
      </vt:variant>
      <vt:variant>
        <vt:lpstr>Intervalos nomeados</vt:lpstr>
      </vt:variant>
      <vt:variant>
        <vt:i4>14</vt:i4>
      </vt:variant>
    </vt:vector>
  </HeadingPairs>
  <TitlesOfParts>
    <vt:vector size="45" baseType="lpstr">
      <vt:lpstr>RESUMO </vt:lpstr>
      <vt:lpstr>RESUMO</vt:lpstr>
      <vt:lpstr>quantdades</vt:lpstr>
      <vt:lpstr>DESMAT. DEST. LIMP. AREA_29</vt:lpstr>
      <vt:lpstr>DESMAT. DEST. LIMP. AREA_29 (2)</vt:lpstr>
      <vt:lpstr>Cronograma</vt:lpstr>
      <vt:lpstr>Inst. Canteiro e Acampamento </vt:lpstr>
      <vt:lpstr>Canteiro de Obra</vt:lpstr>
      <vt:lpstr>Acampamento Obra</vt:lpstr>
      <vt:lpstr>mob-desm de pessoal</vt:lpstr>
      <vt:lpstr>mob-desm equip rodante</vt:lpstr>
      <vt:lpstr>mob-desm equip pesado</vt:lpstr>
      <vt:lpstr>Plan1</vt:lpstr>
      <vt:lpstr>QUANT</vt:lpstr>
      <vt:lpstr>ORÇAMENTO</vt:lpstr>
      <vt:lpstr>TRANSPORTE</vt:lpstr>
      <vt:lpstr>CFF</vt:lpstr>
      <vt:lpstr>BDI</vt:lpstr>
      <vt:lpstr>QTDADE PAV</vt:lpstr>
      <vt:lpstr>Q.R.DRENAGEM</vt:lpstr>
      <vt:lpstr>INSTALAÇÃO DE CANTEIRO</vt:lpstr>
      <vt:lpstr>DISTR DE MASSAS LIMPO GRANDE</vt:lpstr>
      <vt:lpstr>Desmat dest e limp até 15 READ</vt:lpstr>
      <vt:lpstr>DESMATAMENTO ATÉ 0,30 E &gt;0,30</vt:lpstr>
      <vt:lpstr>REG MEC FX DOM</vt:lpstr>
      <vt:lpstr>HIDRO LEITO ESTRADAL</vt:lpstr>
      <vt:lpstr>HIDROSSEMEADURA JAZIDA</vt:lpstr>
      <vt:lpstr>CERCA</vt:lpstr>
      <vt:lpstr>ADM LOCAL</vt:lpstr>
      <vt:lpstr>SUB-BASE</vt:lpstr>
      <vt:lpstr>BASE</vt:lpstr>
      <vt:lpstr>Cronograma!Area_de_impressao</vt:lpstr>
      <vt:lpstr>'DESMAT. DEST. LIMP. AREA_29 (2)'!Area_de_impressao</vt:lpstr>
      <vt:lpstr>'HIDRO LEITO ESTRADAL'!Area_de_impressao</vt:lpstr>
      <vt:lpstr>'HIDROSSEMEADURA JAZIDA'!Area_de_impressao</vt:lpstr>
      <vt:lpstr>ORÇAMENTO!Area_de_impressao</vt:lpstr>
      <vt:lpstr>QUANT!Area_de_impressao</vt:lpstr>
      <vt:lpstr>quantdades!Area_de_impressao</vt:lpstr>
      <vt:lpstr>'REG MEC FX DOM'!Area_de_impressao</vt:lpstr>
      <vt:lpstr>TRANSPORTE!Area_de_impressao</vt:lpstr>
      <vt:lpstr>ORÇAMENTO!Titulos_de_impressao</vt:lpstr>
      <vt:lpstr>QUANT!Titulos_de_impressao</vt:lpstr>
      <vt:lpstr>quantdades!Titulos_de_impressao</vt:lpstr>
      <vt:lpstr>'RESUMO '!Titulos_de_impressao</vt:lpstr>
      <vt:lpstr>TRANSPORTE!Titulos_de_impressao</vt:lpstr>
    </vt:vector>
  </TitlesOfParts>
  <Company>Kebler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Kebler</dc:creator>
  <cp:lastModifiedBy>Branco</cp:lastModifiedBy>
  <cp:lastPrinted>2018-02-08T16:17:04Z</cp:lastPrinted>
  <dcterms:created xsi:type="dcterms:W3CDTF">2007-08-05T18:03:11Z</dcterms:created>
  <dcterms:modified xsi:type="dcterms:W3CDTF">2018-03-01T14:58:50Z</dcterms:modified>
</cp:coreProperties>
</file>