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line.correa\Desktop\12 - MARIA ISABEL\"/>
    </mc:Choice>
  </mc:AlternateContent>
  <bookViews>
    <workbookView xWindow="-105" yWindow="-105" windowWidth="19425" windowHeight="10305" tabRatio="881" activeTab="2"/>
  </bookViews>
  <sheets>
    <sheet name="RESUMO" sheetId="5" r:id="rId1"/>
    <sheet name="QUANT" sheetId="2" r:id="rId2"/>
    <sheet name="ORÇA " sheetId="4" r:id="rId3"/>
    <sheet name="TRANSP" sheetId="3" r:id="rId4"/>
    <sheet name="CFF" sheetId="31" r:id="rId5"/>
    <sheet name="MEMORIAL DE CALCULO" sheetId="8" r:id="rId6"/>
    <sheet name="TERRAP E PAVIM" sheetId="19" r:id="rId7"/>
    <sheet name="BDI" sheetId="22" r:id="rId8"/>
    <sheet name="BDI DIFERENCIADO" sheetId="33" r:id="rId9"/>
    <sheet name="SN HOR" sheetId="28" r:id="rId10"/>
    <sheet name="SN VERT" sheetId="29" r:id="rId11"/>
    <sheet name="ALUGUEL" sheetId="39" state="hidden" r:id="rId12"/>
    <sheet name="COMP." sheetId="41" r:id="rId13"/>
    <sheet name="REAJUSTAMENTO" sheetId="40" r:id="rId14"/>
  </sheets>
  <externalReferences>
    <externalReference r:id="rId15"/>
  </externalReferences>
  <definedNames>
    <definedName name="_xlnm.Print_Area" localSheetId="2">'ORÇA '!$A$1:$J$99</definedName>
    <definedName name="_xlnm.Print_Area" localSheetId="1">QUANT!$C$2:$G$60</definedName>
    <definedName name="_xlnm.Print_Area" localSheetId="3">TRANSP!#REF!</definedName>
    <definedName name="_xlnm.Print_Titles" localSheetId="2">'ORÇA '!$1:$7</definedName>
    <definedName name="_xlnm.Print_Titles" localSheetId="1">QUANT!$2:$7</definedName>
    <definedName name="Z_E8D46A29_8D28_49CA_936A_9705D639E1C7_.wvu.PrintArea" localSheetId="2" hidden="1">'ORÇA '!$B$1:$J$62</definedName>
  </definedNames>
  <calcPr calcId="191029" calcOnSave="0"/>
  <customWorkbookViews>
    <customWorkbookView name="joão - Modo de exibição pessoal" guid="{E8D46A29-8D28-49CA-936A-9705D639E1C7}" mergeInterval="0" personalView="1" maximized="1" xWindow="1" yWindow="1" windowWidth="1600" windowHeight="610" tabRatio="857" activeSheetId="3"/>
    <customWorkbookView name="ECP - Modo de exibição pessoal" guid="{0C989940-19FB-11D4-B636-00D0093DDF73}" mergeInterval="0" personalView="1" maximized="1" windowWidth="796" windowHeight="438" tabRatio="857" activeSheetId="3"/>
    <customWorkbookView name="&lt;: - Modo de exibição pessoal" guid="{AFF92C80-53BE-11D2-88E1-0040C72A12C5}" mergeInterval="0" personalView="1" maximized="1" windowWidth="796" windowHeight="400" tabRatio="857" activeSheetId="3"/>
    <customWorkbookView name="Máquina2 - Modo de exibição pessoal" guid="{F1F53240-5C6B-11D2-88BD-0040C72A12C5}" mergeInterval="0" personalView="1" maximized="1" windowWidth="796" windowHeight="411" tabRatio="857" activeSheetId="5"/>
    <customWorkbookView name="Máquina1 - Modo de exibição pessoal" guid="{EE864208-5880-11D2-88BD-0040C708D492}" mergeInterval="0" personalView="1" maximized="1" windowWidth="796" windowHeight="411" tabRatio="857" activeSheetId="4" showComments="commIndAndComment"/>
    <customWorkbookView name="PENTIUM - Modo de exibição pessoal" guid="{96D85DE4-FE1B-11D2-8AAF-0040C72A12C5}" mergeInterval="0" personalView="1" maximized="1" windowWidth="796" windowHeight="411" tabRatio="8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9" i="41" l="1"/>
  <c r="S518" i="41"/>
  <c r="S517" i="41"/>
  <c r="G97" i="4" s="1"/>
  <c r="S515" i="41"/>
  <c r="S510" i="41"/>
  <c r="S511" i="41"/>
  <c r="S512" i="41"/>
  <c r="S513" i="41"/>
  <c r="S514" i="41"/>
  <c r="S509" i="41"/>
  <c r="O109" i="41"/>
  <c r="O108" i="41"/>
  <c r="O107" i="41"/>
  <c r="S107" i="41" s="1"/>
  <c r="O106" i="41"/>
  <c r="S106" i="41" s="1"/>
  <c r="O105" i="41"/>
  <c r="S105" i="41" s="1"/>
  <c r="O104" i="41"/>
  <c r="S104" i="41" s="1"/>
  <c r="O103" i="41"/>
  <c r="O102" i="41"/>
  <c r="S102" i="41" s="1"/>
  <c r="O88" i="41"/>
  <c r="S88" i="41" s="1"/>
  <c r="O87" i="41"/>
  <c r="S87" i="41" s="1"/>
  <c r="O86" i="41"/>
  <c r="O85" i="41"/>
  <c r="S85" i="41" s="1"/>
  <c r="O84" i="41"/>
  <c r="S84" i="41" s="1"/>
  <c r="O83" i="41"/>
  <c r="S83" i="41" s="1"/>
  <c r="O82" i="41"/>
  <c r="S82" i="41" s="1"/>
  <c r="O81" i="41"/>
  <c r="O67" i="41"/>
  <c r="S67" i="41" s="1"/>
  <c r="O66" i="41"/>
  <c r="S66" i="41" s="1"/>
  <c r="O65" i="41"/>
  <c r="O64" i="41"/>
  <c r="S64" i="41" s="1"/>
  <c r="O63" i="41"/>
  <c r="S63" i="41" s="1"/>
  <c r="O62" i="41"/>
  <c r="S62" i="41" s="1"/>
  <c r="O61" i="41"/>
  <c r="S61" i="41" s="1"/>
  <c r="S492" i="41"/>
  <c r="S491" i="41"/>
  <c r="S493" i="41" s="1"/>
  <c r="S495" i="41" s="1"/>
  <c r="S477" i="41"/>
  <c r="S476" i="41"/>
  <c r="S475" i="41"/>
  <c r="S478" i="41" s="1"/>
  <c r="S480" i="41" s="1"/>
  <c r="S445" i="41"/>
  <c r="S444" i="41"/>
  <c r="S443" i="41"/>
  <c r="S442" i="41"/>
  <c r="S441" i="41"/>
  <c r="S446" i="41" s="1"/>
  <c r="S448" i="41" s="1"/>
  <c r="S428" i="41"/>
  <c r="S430" i="41" s="1"/>
  <c r="S427" i="41"/>
  <c r="S426" i="41"/>
  <c r="S425" i="41"/>
  <c r="S424" i="41"/>
  <c r="S411" i="41"/>
  <c r="S413" i="41" s="1"/>
  <c r="S410" i="41"/>
  <c r="S409" i="41"/>
  <c r="S408" i="41"/>
  <c r="S407" i="41"/>
  <c r="S406" i="41"/>
  <c r="S392" i="41"/>
  <c r="S391" i="41"/>
  <c r="S390" i="41"/>
  <c r="S389" i="41"/>
  <c r="S388" i="41"/>
  <c r="S387" i="41"/>
  <c r="S393" i="41" s="1"/>
  <c r="S395" i="41" s="1"/>
  <c r="S373" i="41"/>
  <c r="S374" i="41" s="1"/>
  <c r="S376" i="41" s="1"/>
  <c r="S372" i="41"/>
  <c r="S371" i="41"/>
  <c r="S357" i="41"/>
  <c r="S356" i="41"/>
  <c r="S355" i="41"/>
  <c r="S354" i="41"/>
  <c r="S353" i="41"/>
  <c r="S352" i="41"/>
  <c r="S351" i="41"/>
  <c r="S358" i="41" s="1"/>
  <c r="S360" i="41" s="1"/>
  <c r="S339" i="41"/>
  <c r="S340" i="41" s="1"/>
  <c r="S341" i="41" s="1"/>
  <c r="S337" i="41"/>
  <c r="S336" i="41"/>
  <c r="S322" i="41"/>
  <c r="S324" i="41" s="1"/>
  <c r="S321" i="41"/>
  <c r="S307" i="41"/>
  <c r="S306" i="41"/>
  <c r="S305" i="41"/>
  <c r="S304" i="41"/>
  <c r="S303" i="41"/>
  <c r="S302" i="41"/>
  <c r="S301" i="41"/>
  <c r="S300" i="41"/>
  <c r="S299" i="41"/>
  <c r="S298" i="41"/>
  <c r="S297" i="41"/>
  <c r="S308" i="41" s="1"/>
  <c r="S310" i="41" s="1"/>
  <c r="S283" i="41"/>
  <c r="S282" i="41"/>
  <c r="S281" i="41"/>
  <c r="S280" i="41"/>
  <c r="S279" i="41"/>
  <c r="S284" i="41" s="1"/>
  <c r="S286" i="41" s="1"/>
  <c r="S265" i="41"/>
  <c r="S264" i="41"/>
  <c r="S263" i="41"/>
  <c r="S262" i="41"/>
  <c r="S261" i="41"/>
  <c r="S260" i="41"/>
  <c r="S259" i="41"/>
  <c r="S258" i="41"/>
  <c r="S266" i="41" s="1"/>
  <c r="S268" i="41" s="1"/>
  <c r="S245" i="41"/>
  <c r="S244" i="41"/>
  <c r="S243" i="41"/>
  <c r="S242" i="41"/>
  <c r="S241" i="41"/>
  <c r="S240" i="41"/>
  <c r="S239" i="41"/>
  <c r="S238" i="41"/>
  <c r="S237" i="41"/>
  <c r="S236" i="41"/>
  <c r="S235" i="41"/>
  <c r="S234" i="41"/>
  <c r="S233" i="41"/>
  <c r="S246" i="41" s="1"/>
  <c r="S248" i="41" s="1"/>
  <c r="S220" i="41"/>
  <c r="S219" i="41"/>
  <c r="S218" i="41"/>
  <c r="S217" i="41"/>
  <c r="S216" i="41"/>
  <c r="S215" i="41"/>
  <c r="S214" i="41"/>
  <c r="S213" i="41"/>
  <c r="S212" i="41"/>
  <c r="S211" i="41"/>
  <c r="S210" i="41"/>
  <c r="S209" i="41"/>
  <c r="S221" i="41" s="1"/>
  <c r="S223" i="41" s="1"/>
  <c r="S208" i="41"/>
  <c r="S194" i="41"/>
  <c r="S193" i="41"/>
  <c r="S192" i="41"/>
  <c r="S191" i="41"/>
  <c r="S190" i="41"/>
  <c r="S189" i="41"/>
  <c r="S188" i="41"/>
  <c r="S187" i="41"/>
  <c r="S195" i="41" s="1"/>
  <c r="S197" i="41" s="1"/>
  <c r="S172" i="41"/>
  <c r="S173" i="41" s="1"/>
  <c r="S175" i="41" s="1"/>
  <c r="S171" i="41"/>
  <c r="S156" i="41"/>
  <c r="S155" i="41"/>
  <c r="S157" i="41" s="1"/>
  <c r="S159" i="41" s="1"/>
  <c r="S140" i="41"/>
  <c r="S139" i="41"/>
  <c r="S141" i="41" s="1"/>
  <c r="S143" i="41" s="1"/>
  <c r="S124" i="41"/>
  <c r="S125" i="41" s="1"/>
  <c r="S127" i="41" s="1"/>
  <c r="S123" i="41"/>
  <c r="S109" i="41"/>
  <c r="S108" i="41"/>
  <c r="S103" i="41"/>
  <c r="S86" i="41"/>
  <c r="S81" i="41"/>
  <c r="S65" i="41"/>
  <c r="S47" i="41"/>
  <c r="S46" i="41"/>
  <c r="S45" i="41"/>
  <c r="S44" i="41"/>
  <c r="S43" i="41"/>
  <c r="S42" i="41"/>
  <c r="S48" i="41" s="1"/>
  <c r="S50" i="41" s="1"/>
  <c r="S41" i="41"/>
  <c r="S26" i="41"/>
  <c r="S27" i="41" s="1"/>
  <c r="S29" i="41" s="1"/>
  <c r="S12" i="41"/>
  <c r="S11" i="41"/>
  <c r="S10" i="41"/>
  <c r="S9" i="41"/>
  <c r="S8" i="41"/>
  <c r="S7" i="41"/>
  <c r="S13" i="41" s="1"/>
  <c r="S15" i="41" s="1"/>
  <c r="S6" i="41"/>
  <c r="G68" i="4"/>
  <c r="G67" i="4"/>
  <c r="G66" i="4"/>
  <c r="G43" i="4"/>
  <c r="S481" i="41" l="1"/>
  <c r="S482" i="41" s="1"/>
  <c r="S496" i="41"/>
  <c r="S497" i="41" s="1"/>
  <c r="S89" i="41"/>
  <c r="S91" i="41" s="1"/>
  <c r="G19" i="4" s="1"/>
  <c r="S30" i="41"/>
  <c r="S31" i="41"/>
  <c r="G11" i="4"/>
  <c r="S68" i="41"/>
  <c r="S70" i="41" s="1"/>
  <c r="G21" i="4"/>
  <c r="S128" i="41"/>
  <c r="S129" i="41" s="1"/>
  <c r="G35" i="4"/>
  <c r="S224" i="41"/>
  <c r="S225" i="41" s="1"/>
  <c r="G58" i="4"/>
  <c r="S396" i="41"/>
  <c r="S397" i="41" s="1"/>
  <c r="G61" i="4"/>
  <c r="S431" i="41"/>
  <c r="S432" i="41" s="1"/>
  <c r="G54" i="4"/>
  <c r="S378" i="41"/>
  <c r="S377" i="41"/>
  <c r="G24" i="4"/>
  <c r="S144" i="41"/>
  <c r="S145" i="41" s="1"/>
  <c r="S269" i="41"/>
  <c r="S270" i="41" s="1"/>
  <c r="G37" i="4"/>
  <c r="S287" i="41"/>
  <c r="S288" i="41" s="1"/>
  <c r="G38" i="4"/>
  <c r="S449" i="41"/>
  <c r="S450" i="41" s="1"/>
  <c r="G62" i="4"/>
  <c r="S312" i="41"/>
  <c r="S311" i="41"/>
  <c r="G39" i="4"/>
  <c r="G33" i="4"/>
  <c r="S198" i="41"/>
  <c r="S199" i="41" s="1"/>
  <c r="G9" i="4"/>
  <c r="S16" i="41"/>
  <c r="S17" i="41" s="1"/>
  <c r="S51" i="41"/>
  <c r="S52" i="41" s="1"/>
  <c r="S325" i="41"/>
  <c r="S326" i="41" s="1"/>
  <c r="G40" i="4"/>
  <c r="S361" i="41"/>
  <c r="S362" i="41" s="1"/>
  <c r="G46" i="4"/>
  <c r="S110" i="41"/>
  <c r="S112" i="41" s="1"/>
  <c r="S161" i="41"/>
  <c r="S160" i="41"/>
  <c r="G25" i="4"/>
  <c r="S414" i="41"/>
  <c r="S415" i="41" s="1"/>
  <c r="G59" i="4"/>
  <c r="G36" i="4"/>
  <c r="S249" i="41"/>
  <c r="S250" i="41" s="1"/>
  <c r="G30" i="4"/>
  <c r="S176" i="41"/>
  <c r="S177" i="41" s="1"/>
  <c r="I41" i="3"/>
  <c r="I21" i="3"/>
  <c r="I20" i="3"/>
  <c r="I7" i="3"/>
  <c r="S71" i="41" l="1"/>
  <c r="S72" i="41" s="1"/>
  <c r="S92" i="41"/>
  <c r="S93" i="41" s="1"/>
  <c r="G20" i="4"/>
  <c r="S113" i="41"/>
  <c r="S114" i="41" s="1"/>
  <c r="G18" i="4"/>
  <c r="G15" i="4"/>
  <c r="A1" i="4"/>
  <c r="D2" i="4"/>
  <c r="J2" i="4"/>
  <c r="J3" i="4"/>
  <c r="D4" i="4"/>
  <c r="A7" i="4"/>
  <c r="B7" i="4"/>
  <c r="C7" i="4"/>
  <c r="D7" i="4"/>
  <c r="A8" i="4"/>
  <c r="D8" i="4"/>
  <c r="A9" i="4"/>
  <c r="B9" i="4"/>
  <c r="D9" i="4"/>
  <c r="E9" i="4"/>
  <c r="F9" i="4"/>
  <c r="A10" i="4"/>
  <c r="D10" i="4"/>
  <c r="E10" i="4"/>
  <c r="F10" i="4"/>
  <c r="A11" i="4"/>
  <c r="D11" i="4"/>
  <c r="E11" i="4"/>
  <c r="F11" i="4"/>
  <c r="A12" i="4"/>
  <c r="D12" i="4"/>
  <c r="E12" i="4"/>
  <c r="F12" i="4"/>
  <c r="A14" i="4"/>
  <c r="D14" i="4"/>
  <c r="A15" i="4"/>
  <c r="D15" i="4"/>
  <c r="E15" i="4"/>
  <c r="F15" i="4"/>
  <c r="A17" i="4"/>
  <c r="D17" i="4"/>
  <c r="A18" i="4"/>
  <c r="D18" i="4"/>
  <c r="E18" i="4"/>
  <c r="A19" i="4"/>
  <c r="D19" i="4"/>
  <c r="E19" i="4"/>
  <c r="A20" i="4"/>
  <c r="D20" i="4"/>
  <c r="E20" i="4"/>
  <c r="A21" i="4"/>
  <c r="D21" i="4"/>
  <c r="E21" i="4"/>
  <c r="A23" i="4"/>
  <c r="D23" i="4"/>
  <c r="A24" i="4"/>
  <c r="D24" i="4"/>
  <c r="E24" i="4"/>
  <c r="A25" i="4"/>
  <c r="D25" i="4"/>
  <c r="E25" i="4"/>
  <c r="A26" i="4"/>
  <c r="D26" i="4"/>
  <c r="E26" i="4"/>
  <c r="A27" i="4"/>
  <c r="D27" i="4"/>
  <c r="E27" i="4"/>
  <c r="A28" i="4"/>
  <c r="D28" i="4"/>
  <c r="E28" i="4"/>
  <c r="A29" i="4"/>
  <c r="D29" i="4"/>
  <c r="E29" i="4"/>
  <c r="A30" i="4"/>
  <c r="D30" i="4"/>
  <c r="E30" i="4"/>
  <c r="A32" i="4"/>
  <c r="D32" i="4"/>
  <c r="A33" i="4"/>
  <c r="D33" i="4"/>
  <c r="E33" i="4"/>
  <c r="A34" i="4"/>
  <c r="D34" i="4"/>
  <c r="E34" i="4"/>
  <c r="A35" i="4"/>
  <c r="D35" i="4"/>
  <c r="E35" i="4"/>
  <c r="A36" i="4"/>
  <c r="D36" i="4"/>
  <c r="E36" i="4"/>
  <c r="A37" i="4"/>
  <c r="D37" i="4"/>
  <c r="E37" i="4"/>
  <c r="A38" i="4"/>
  <c r="D38" i="4"/>
  <c r="E38" i="4"/>
  <c r="A39" i="4"/>
  <c r="D39" i="4"/>
  <c r="E39" i="4"/>
  <c r="A40" i="4"/>
  <c r="D40" i="4"/>
  <c r="E40" i="4"/>
  <c r="A41" i="4"/>
  <c r="D41" i="4"/>
  <c r="E41" i="4"/>
  <c r="A42" i="4"/>
  <c r="D42" i="4"/>
  <c r="E42" i="4"/>
  <c r="A43" i="4"/>
  <c r="D43" i="4"/>
  <c r="E43" i="4"/>
  <c r="A45" i="4"/>
  <c r="D45" i="4"/>
  <c r="A46" i="4"/>
  <c r="D46" i="4"/>
  <c r="E46" i="4"/>
  <c r="A47" i="4"/>
  <c r="D47" i="4"/>
  <c r="E47" i="4"/>
  <c r="A48" i="4"/>
  <c r="D48" i="4"/>
  <c r="E48" i="4"/>
  <c r="A49" i="4"/>
  <c r="D49" i="4"/>
  <c r="F49" i="4"/>
  <c r="A51" i="4"/>
  <c r="D51" i="4"/>
  <c r="A52" i="4"/>
  <c r="D52" i="4"/>
  <c r="E52" i="4"/>
  <c r="A53" i="4"/>
  <c r="D53" i="4"/>
  <c r="E53" i="4"/>
  <c r="F53" i="4"/>
  <c r="A54" i="4"/>
  <c r="D54" i="4"/>
  <c r="E54" i="4"/>
  <c r="A56" i="4"/>
  <c r="D56" i="4"/>
  <c r="A57" i="4"/>
  <c r="D57" i="4"/>
  <c r="E57" i="4"/>
  <c r="F57" i="4"/>
  <c r="A58" i="4"/>
  <c r="D58" i="4"/>
  <c r="E58" i="4"/>
  <c r="F58" i="4"/>
  <c r="A59" i="4"/>
  <c r="D59" i="4"/>
  <c r="E59" i="4"/>
  <c r="F59" i="4"/>
  <c r="A60" i="4"/>
  <c r="D60" i="4"/>
  <c r="E60" i="4"/>
  <c r="A61" i="4"/>
  <c r="D61" i="4"/>
  <c r="E61" i="4"/>
  <c r="A62" i="4"/>
  <c r="D62" i="4"/>
  <c r="E62" i="4"/>
  <c r="A63" i="4"/>
  <c r="D63" i="4"/>
  <c r="E63" i="4"/>
  <c r="A64" i="4"/>
  <c r="D64" i="4"/>
  <c r="E64" i="4"/>
  <c r="A65" i="4"/>
  <c r="D65" i="4"/>
  <c r="E65" i="4"/>
  <c r="A66" i="4"/>
  <c r="D66" i="4"/>
  <c r="E66" i="4"/>
  <c r="A67" i="4"/>
  <c r="D67" i="4"/>
  <c r="E67" i="4"/>
  <c r="A68" i="4"/>
  <c r="D68" i="4"/>
  <c r="E68" i="4"/>
  <c r="A69" i="4"/>
  <c r="D69" i="4"/>
  <c r="E69" i="4"/>
  <c r="A71" i="4"/>
  <c r="D71" i="4"/>
  <c r="A72" i="4"/>
  <c r="D72" i="4"/>
  <c r="E72" i="4"/>
  <c r="A73" i="4"/>
  <c r="D73" i="4"/>
  <c r="E73" i="4"/>
  <c r="A74" i="4"/>
  <c r="D74" i="4"/>
  <c r="E74" i="4"/>
  <c r="A76" i="4"/>
  <c r="D76" i="4"/>
  <c r="A77" i="4"/>
  <c r="D77" i="4"/>
  <c r="E77" i="4"/>
  <c r="A78" i="4"/>
  <c r="D78" i="4"/>
  <c r="E78" i="4"/>
  <c r="A79" i="4"/>
  <c r="D79" i="4"/>
  <c r="E79" i="4"/>
  <c r="A81" i="4"/>
  <c r="D81" i="4"/>
  <c r="A82" i="4"/>
  <c r="D82" i="4"/>
  <c r="E82" i="4"/>
  <c r="A83" i="4"/>
  <c r="D83" i="4"/>
  <c r="E83" i="4"/>
  <c r="A84" i="4"/>
  <c r="D84" i="4"/>
  <c r="E84" i="4"/>
  <c r="A85" i="4"/>
  <c r="D85" i="4"/>
  <c r="E85" i="4"/>
  <c r="A86" i="4"/>
  <c r="D86" i="4"/>
  <c r="E86" i="4"/>
  <c r="A87" i="4"/>
  <c r="D87" i="4"/>
  <c r="E87" i="4"/>
  <c r="A88" i="4"/>
  <c r="D88" i="4"/>
  <c r="E88" i="4"/>
  <c r="A89" i="4"/>
  <c r="D89" i="4"/>
  <c r="E89" i="4"/>
  <c r="A90" i="4"/>
  <c r="D90" i="4"/>
  <c r="E90" i="4"/>
  <c r="A91" i="4"/>
  <c r="D91" i="4"/>
  <c r="E91" i="4"/>
  <c r="A92" i="4"/>
  <c r="D92" i="4"/>
  <c r="E92" i="4"/>
  <c r="A93" i="4"/>
  <c r="D93" i="4"/>
  <c r="E93" i="4"/>
  <c r="A94" i="4"/>
  <c r="D94" i="4"/>
  <c r="E94" i="4"/>
  <c r="A95" i="4"/>
  <c r="D95" i="4"/>
  <c r="E95" i="4"/>
  <c r="A96" i="4"/>
  <c r="D96" i="4"/>
  <c r="E96" i="4"/>
  <c r="A97" i="4"/>
  <c r="D97" i="4"/>
  <c r="E97" i="4"/>
  <c r="I8" i="40" l="1"/>
  <c r="I11" i="40" s="1"/>
  <c r="H9" i="39"/>
  <c r="C17" i="3"/>
  <c r="C24" i="3" s="1"/>
  <c r="C31" i="3" s="1"/>
  <c r="C38" i="3" s="1"/>
  <c r="C44" i="3" s="1"/>
  <c r="C10" i="3"/>
  <c r="B34" i="3"/>
  <c r="A34" i="3"/>
  <c r="B28" i="3"/>
  <c r="A28" i="3"/>
  <c r="B27" i="3"/>
  <c r="A27" i="3"/>
  <c r="B21" i="3"/>
  <c r="A21" i="3"/>
  <c r="B20" i="3"/>
  <c r="A20" i="3"/>
  <c r="B41" i="3"/>
  <c r="B47" i="3" s="1"/>
  <c r="A37" i="3"/>
  <c r="B7" i="3"/>
  <c r="B13" i="3" s="1"/>
  <c r="A7" i="3"/>
  <c r="A13" i="3" s="1"/>
  <c r="E146" i="29"/>
  <c r="G54" i="2" s="1"/>
  <c r="F54" i="4" s="1"/>
  <c r="G74" i="2"/>
  <c r="F74" i="4" s="1"/>
  <c r="G97" i="2"/>
  <c r="F97" i="4" s="1"/>
  <c r="G96" i="2"/>
  <c r="F96" i="4" s="1"/>
  <c r="G95" i="2"/>
  <c r="F95" i="4" s="1"/>
  <c r="G94" i="2"/>
  <c r="F94" i="4" s="1"/>
  <c r="G93" i="2"/>
  <c r="F93" i="4" s="1"/>
  <c r="G92" i="2"/>
  <c r="F92" i="4" s="1"/>
  <c r="G91" i="2"/>
  <c r="F91" i="4" s="1"/>
  <c r="G90" i="2"/>
  <c r="F90" i="4" s="1"/>
  <c r="G89" i="2"/>
  <c r="F89" i="4" s="1"/>
  <c r="G88" i="2"/>
  <c r="F88" i="4" s="1"/>
  <c r="G87" i="2"/>
  <c r="F87" i="4" s="1"/>
  <c r="G84" i="2"/>
  <c r="F84" i="4" s="1"/>
  <c r="G85" i="2"/>
  <c r="F85" i="4" s="1"/>
  <c r="G86" i="2"/>
  <c r="F86" i="4" s="1"/>
  <c r="G83" i="2"/>
  <c r="F83" i="4" s="1"/>
  <c r="G82" i="2"/>
  <c r="F82" i="4" s="1"/>
  <c r="G69" i="2"/>
  <c r="F69" i="4" s="1"/>
  <c r="E214" i="28"/>
  <c r="E213" i="28"/>
  <c r="E210" i="28"/>
  <c r="C209" i="28"/>
  <c r="E209" i="28"/>
  <c r="C206" i="28"/>
  <c r="E206" i="28" s="1"/>
  <c r="E202" i="28"/>
  <c r="E201" i="28"/>
  <c r="E198" i="28"/>
  <c r="E197" i="28"/>
  <c r="C194" i="28"/>
  <c r="E194" i="28" s="1"/>
  <c r="E190" i="28"/>
  <c r="E189" i="28"/>
  <c r="E188" i="28"/>
  <c r="E185" i="28"/>
  <c r="C184" i="28"/>
  <c r="E184" i="28" s="1"/>
  <c r="C181" i="28"/>
  <c r="E181" i="28" s="1"/>
  <c r="E177" i="28"/>
  <c r="E176" i="28"/>
  <c r="E175" i="28"/>
  <c r="E172" i="28"/>
  <c r="C171" i="28"/>
  <c r="E171" i="28" s="1"/>
  <c r="C168" i="28"/>
  <c r="E168" i="28" s="1"/>
  <c r="E164" i="28"/>
  <c r="E163" i="28"/>
  <c r="E162" i="28"/>
  <c r="E159" i="28"/>
  <c r="E158" i="28"/>
  <c r="C155" i="28"/>
  <c r="E155" i="28" s="1"/>
  <c r="E151" i="28"/>
  <c r="E150" i="28"/>
  <c r="E149" i="28"/>
  <c r="E146" i="28"/>
  <c r="E145" i="28"/>
  <c r="C142" i="28"/>
  <c r="E142" i="28"/>
  <c r="E138" i="28"/>
  <c r="E137" i="28"/>
  <c r="E134" i="28"/>
  <c r="E133" i="28"/>
  <c r="C130" i="28"/>
  <c r="E130" i="28" s="1"/>
  <c r="E126" i="28"/>
  <c r="E125" i="28"/>
  <c r="E124" i="28"/>
  <c r="E123" i="28"/>
  <c r="E122" i="28"/>
  <c r="E121" i="28"/>
  <c r="E120" i="28"/>
  <c r="E117" i="28"/>
  <c r="C116" i="28"/>
  <c r="E116" i="28"/>
  <c r="C113" i="28"/>
  <c r="E113" i="28" s="1"/>
  <c r="E109" i="28"/>
  <c r="E108" i="28"/>
  <c r="E107" i="28"/>
  <c r="E106" i="28"/>
  <c r="E105" i="28"/>
  <c r="E104" i="28"/>
  <c r="E101" i="28"/>
  <c r="C100" i="28"/>
  <c r="E100" i="28" s="1"/>
  <c r="C97" i="28"/>
  <c r="E97" i="28" s="1"/>
  <c r="E93" i="28"/>
  <c r="E92" i="28"/>
  <c r="E91" i="28"/>
  <c r="E88" i="28"/>
  <c r="C87" i="28"/>
  <c r="E87" i="28"/>
  <c r="C84" i="28"/>
  <c r="E84" i="28" s="1"/>
  <c r="E80" i="28"/>
  <c r="E79" i="28"/>
  <c r="E78" i="28"/>
  <c r="E75" i="28"/>
  <c r="C74" i="28"/>
  <c r="E74" i="28" s="1"/>
  <c r="C71" i="28"/>
  <c r="E71" i="28" s="1"/>
  <c r="E67" i="28"/>
  <c r="E66" i="28"/>
  <c r="E65" i="28"/>
  <c r="E62" i="28"/>
  <c r="C61" i="28"/>
  <c r="E61" i="28" s="1"/>
  <c r="C58" i="28"/>
  <c r="E58" i="28" s="1"/>
  <c r="E54" i="28"/>
  <c r="E53" i="28"/>
  <c r="E52" i="28"/>
  <c r="E49" i="28"/>
  <c r="E48" i="28"/>
  <c r="C45" i="28"/>
  <c r="E45" i="28"/>
  <c r="E41" i="28"/>
  <c r="E40" i="28"/>
  <c r="E37" i="28"/>
  <c r="E36" i="28"/>
  <c r="C33" i="28"/>
  <c r="E33" i="28" s="1"/>
  <c r="E29" i="28"/>
  <c r="E28" i="28"/>
  <c r="E27" i="28"/>
  <c r="E24" i="28"/>
  <c r="E23" i="28"/>
  <c r="C20" i="28"/>
  <c r="E20" i="28"/>
  <c r="E16" i="28"/>
  <c r="E15" i="28"/>
  <c r="E14" i="28"/>
  <c r="E11" i="28"/>
  <c r="C10" i="28"/>
  <c r="E10" i="28" s="1"/>
  <c r="C7" i="28"/>
  <c r="E7" i="28" s="1"/>
  <c r="E145" i="29"/>
  <c r="G48" i="2" s="1"/>
  <c r="F48" i="4" s="1"/>
  <c r="E143" i="29"/>
  <c r="E139" i="29"/>
  <c r="E135" i="29"/>
  <c r="E131" i="29"/>
  <c r="E127" i="29"/>
  <c r="E123" i="29"/>
  <c r="E119" i="29"/>
  <c r="E115" i="29"/>
  <c r="E111" i="29"/>
  <c r="E107" i="29"/>
  <c r="E103" i="29"/>
  <c r="E99" i="29"/>
  <c r="E95" i="29"/>
  <c r="E91" i="29"/>
  <c r="E87" i="29"/>
  <c r="E83" i="29"/>
  <c r="E79" i="29"/>
  <c r="E75" i="29"/>
  <c r="E71" i="29"/>
  <c r="E67" i="29"/>
  <c r="E63" i="29"/>
  <c r="E59" i="29"/>
  <c r="E55" i="29"/>
  <c r="E51" i="29"/>
  <c r="E47" i="29"/>
  <c r="E43" i="29"/>
  <c r="E39" i="29"/>
  <c r="E35" i="29"/>
  <c r="E31" i="29"/>
  <c r="E27" i="29"/>
  <c r="E23" i="29"/>
  <c r="E19" i="29"/>
  <c r="E15" i="29"/>
  <c r="E11" i="29"/>
  <c r="E7" i="29"/>
  <c r="C110" i="8"/>
  <c r="G73" i="2" s="1"/>
  <c r="F73" i="4" s="1"/>
  <c r="C109" i="8"/>
  <c r="D109" i="8" s="1"/>
  <c r="C108" i="8"/>
  <c r="G72" i="2" s="1"/>
  <c r="F72" i="4" s="1"/>
  <c r="D104" i="8"/>
  <c r="J83" i="8"/>
  <c r="I83" i="8"/>
  <c r="J82" i="8"/>
  <c r="I82" i="8"/>
  <c r="J81" i="8"/>
  <c r="I81" i="8"/>
  <c r="J80" i="8"/>
  <c r="I80" i="8"/>
  <c r="J79" i="8"/>
  <c r="I79" i="8"/>
  <c r="J78" i="8"/>
  <c r="I78" i="8"/>
  <c r="J77" i="8"/>
  <c r="I77" i="8"/>
  <c r="J76" i="8"/>
  <c r="I76" i="8"/>
  <c r="J75" i="8"/>
  <c r="I75" i="8"/>
  <c r="J74" i="8"/>
  <c r="I74" i="8"/>
  <c r="J73" i="8"/>
  <c r="I73" i="8"/>
  <c r="J71" i="8"/>
  <c r="H71" i="8"/>
  <c r="I71" i="8"/>
  <c r="J70" i="8"/>
  <c r="H70" i="8"/>
  <c r="I70" i="8" s="1"/>
  <c r="J69" i="8"/>
  <c r="H69" i="8"/>
  <c r="I69" i="8" s="1"/>
  <c r="J68" i="8"/>
  <c r="I68" i="8"/>
  <c r="H68" i="8"/>
  <c r="J67" i="8"/>
  <c r="H67" i="8"/>
  <c r="I67" i="8" s="1"/>
  <c r="J66" i="8"/>
  <c r="H66" i="8"/>
  <c r="I66" i="8" s="1"/>
  <c r="J65" i="8"/>
  <c r="H65" i="8"/>
  <c r="I65" i="8" s="1"/>
  <c r="J64" i="8"/>
  <c r="H64" i="8"/>
  <c r="I64" i="8" s="1"/>
  <c r="J63" i="8"/>
  <c r="H63" i="8"/>
  <c r="I63" i="8" s="1"/>
  <c r="J62" i="8"/>
  <c r="H62" i="8"/>
  <c r="I62" i="8" s="1"/>
  <c r="J61" i="8"/>
  <c r="H61" i="8"/>
  <c r="I61" i="8" s="1"/>
  <c r="J60" i="8"/>
  <c r="H60" i="8"/>
  <c r="I60" i="8" s="1"/>
  <c r="J59" i="8"/>
  <c r="H59" i="8"/>
  <c r="I59" i="8"/>
  <c r="J58" i="8"/>
  <c r="H58" i="8"/>
  <c r="I58" i="8" s="1"/>
  <c r="J57" i="8"/>
  <c r="H57" i="8"/>
  <c r="I57" i="8"/>
  <c r="J56" i="8"/>
  <c r="H56" i="8"/>
  <c r="I56" i="8" s="1"/>
  <c r="J55" i="8"/>
  <c r="H55" i="8"/>
  <c r="I55" i="8"/>
  <c r="J54" i="8"/>
  <c r="H54" i="8"/>
  <c r="I54" i="8" s="1"/>
  <c r="J53" i="8"/>
  <c r="H53" i="8"/>
  <c r="I53" i="8" s="1"/>
  <c r="J52" i="8"/>
  <c r="I52" i="8"/>
  <c r="H52" i="8"/>
  <c r="J51" i="8"/>
  <c r="H51" i="8"/>
  <c r="I51" i="8" s="1"/>
  <c r="J50" i="8"/>
  <c r="H50" i="8"/>
  <c r="I50" i="8" s="1"/>
  <c r="J49" i="8"/>
  <c r="H49" i="8"/>
  <c r="I49" i="8" s="1"/>
  <c r="J48" i="8"/>
  <c r="H48" i="8"/>
  <c r="I48" i="8" s="1"/>
  <c r="J47" i="8"/>
  <c r="H47" i="8"/>
  <c r="I47" i="8"/>
  <c r="J46" i="8"/>
  <c r="H46" i="8"/>
  <c r="I46" i="8" s="1"/>
  <c r="J45" i="8"/>
  <c r="H45" i="8"/>
  <c r="I45" i="8" s="1"/>
  <c r="J44" i="8"/>
  <c r="H44" i="8"/>
  <c r="I44" i="8" s="1"/>
  <c r="J43" i="8"/>
  <c r="H43" i="8"/>
  <c r="I43" i="8"/>
  <c r="J42" i="8"/>
  <c r="H42" i="8"/>
  <c r="I42" i="8" s="1"/>
  <c r="J41" i="8"/>
  <c r="H41" i="8"/>
  <c r="I41" i="8"/>
  <c r="J40" i="8"/>
  <c r="H40" i="8"/>
  <c r="I40" i="8" s="1"/>
  <c r="J39" i="8"/>
  <c r="H39" i="8"/>
  <c r="I39" i="8"/>
  <c r="J38" i="8"/>
  <c r="H38" i="8"/>
  <c r="I38" i="8" s="1"/>
  <c r="J37" i="8"/>
  <c r="H37" i="8"/>
  <c r="I37" i="8" s="1"/>
  <c r="J36" i="8"/>
  <c r="I36" i="8"/>
  <c r="H36" i="8"/>
  <c r="J35" i="8"/>
  <c r="H35" i="8"/>
  <c r="I35" i="8" s="1"/>
  <c r="J34" i="8"/>
  <c r="H34" i="8"/>
  <c r="I34" i="8" s="1"/>
  <c r="J33" i="8"/>
  <c r="H33" i="8"/>
  <c r="I33" i="8" s="1"/>
  <c r="J32" i="8"/>
  <c r="H32" i="8"/>
  <c r="I32" i="8" s="1"/>
  <c r="J31" i="8"/>
  <c r="H31" i="8"/>
  <c r="I31" i="8"/>
  <c r="J30" i="8"/>
  <c r="I30" i="8"/>
  <c r="H30" i="8"/>
  <c r="J29" i="8"/>
  <c r="H29" i="8"/>
  <c r="I29" i="8"/>
  <c r="J28" i="8"/>
  <c r="H28" i="8"/>
  <c r="I28" i="8" s="1"/>
  <c r="J26" i="8"/>
  <c r="H26" i="8"/>
  <c r="I26" i="8" s="1"/>
  <c r="J25" i="8"/>
  <c r="H25" i="8"/>
  <c r="I25" i="8"/>
  <c r="J24" i="8"/>
  <c r="H24" i="8"/>
  <c r="I24" i="8" s="1"/>
  <c r="J23" i="8"/>
  <c r="H23" i="8"/>
  <c r="I23" i="8"/>
  <c r="J22" i="8"/>
  <c r="H22" i="8"/>
  <c r="I22" i="8"/>
  <c r="J21" i="8"/>
  <c r="H21" i="8"/>
  <c r="I21" i="8" s="1"/>
  <c r="J20" i="8"/>
  <c r="H20" i="8"/>
  <c r="I20" i="8" s="1"/>
  <c r="J19" i="8"/>
  <c r="H19" i="8"/>
  <c r="I19" i="8" s="1"/>
  <c r="J18" i="8"/>
  <c r="H18" i="8"/>
  <c r="I18" i="8" s="1"/>
  <c r="J17" i="8"/>
  <c r="H17" i="8"/>
  <c r="I17" i="8" s="1"/>
  <c r="J16" i="8"/>
  <c r="H16" i="8"/>
  <c r="I16" i="8" s="1"/>
  <c r="J15" i="8"/>
  <c r="H15" i="8"/>
  <c r="I15" i="8" s="1"/>
  <c r="J14" i="8"/>
  <c r="H14" i="8"/>
  <c r="I14" i="8" s="1"/>
  <c r="J13" i="8"/>
  <c r="H13" i="8"/>
  <c r="I13" i="8" s="1"/>
  <c r="J12" i="8"/>
  <c r="H12" i="8"/>
  <c r="I12" i="8"/>
  <c r="J11" i="8"/>
  <c r="H11" i="8"/>
  <c r="I11" i="8" s="1"/>
  <c r="J10" i="8"/>
  <c r="H10" i="8"/>
  <c r="I10" i="8" s="1"/>
  <c r="A4" i="31"/>
  <c r="O50" i="19"/>
  <c r="O47" i="19"/>
  <c r="X46" i="19"/>
  <c r="O44" i="19"/>
  <c r="O29" i="19"/>
  <c r="O17" i="19"/>
  <c r="X53" i="19"/>
  <c r="V53" i="19"/>
  <c r="U53" i="19"/>
  <c r="W53" i="19" s="1"/>
  <c r="T53" i="19"/>
  <c r="S53" i="19"/>
  <c r="Q53" i="19"/>
  <c r="N53" i="19"/>
  <c r="V52" i="19"/>
  <c r="T52" i="19"/>
  <c r="S52" i="19"/>
  <c r="I52" i="19"/>
  <c r="X52" i="19" s="1"/>
  <c r="Q52" i="19"/>
  <c r="X50" i="19"/>
  <c r="V50" i="19"/>
  <c r="U50" i="19"/>
  <c r="W50" i="19"/>
  <c r="T50" i="19"/>
  <c r="S50" i="19"/>
  <c r="Q50" i="19"/>
  <c r="N50" i="19"/>
  <c r="I49" i="19"/>
  <c r="X49" i="19" s="1"/>
  <c r="N49" i="19"/>
  <c r="X47" i="19"/>
  <c r="V47" i="19"/>
  <c r="U47" i="19"/>
  <c r="W47" i="19"/>
  <c r="T47" i="19"/>
  <c r="S47" i="19"/>
  <c r="Q47" i="19"/>
  <c r="N47" i="19"/>
  <c r="I46" i="19"/>
  <c r="Q46" i="19"/>
  <c r="X44" i="19"/>
  <c r="V44" i="19"/>
  <c r="U44" i="19"/>
  <c r="W44" i="19"/>
  <c r="T44" i="19"/>
  <c r="S44" i="19"/>
  <c r="Q44" i="19"/>
  <c r="N44" i="19"/>
  <c r="I43" i="19"/>
  <c r="X43" i="19" s="1"/>
  <c r="S43" i="19"/>
  <c r="X41" i="19"/>
  <c r="V41" i="19"/>
  <c r="U41" i="19"/>
  <c r="W41" i="19"/>
  <c r="T41" i="19"/>
  <c r="S41" i="19"/>
  <c r="Q41" i="19"/>
  <c r="N41" i="19"/>
  <c r="I40" i="19"/>
  <c r="X40" i="19"/>
  <c r="X38" i="19"/>
  <c r="V38" i="19"/>
  <c r="U38" i="19"/>
  <c r="W38" i="19"/>
  <c r="T38" i="19"/>
  <c r="S38" i="19"/>
  <c r="Q38" i="19"/>
  <c r="N38" i="19"/>
  <c r="I37" i="19"/>
  <c r="X37" i="19"/>
  <c r="X35" i="19"/>
  <c r="V35" i="19"/>
  <c r="U35" i="19"/>
  <c r="W35" i="19"/>
  <c r="T35" i="19"/>
  <c r="S35" i="19"/>
  <c r="Q35" i="19"/>
  <c r="N35" i="19"/>
  <c r="I34" i="19"/>
  <c r="X34" i="19" s="1"/>
  <c r="Q34" i="19"/>
  <c r="X32" i="19"/>
  <c r="V32" i="19"/>
  <c r="U32" i="19"/>
  <c r="W32" i="19"/>
  <c r="T32" i="19"/>
  <c r="S32" i="19"/>
  <c r="Q32" i="19"/>
  <c r="N32" i="19"/>
  <c r="I31" i="19"/>
  <c r="X31" i="19" s="1"/>
  <c r="T31" i="19"/>
  <c r="X29" i="19"/>
  <c r="V29" i="19"/>
  <c r="U29" i="19"/>
  <c r="W29" i="19" s="1"/>
  <c r="T29" i="19"/>
  <c r="S29" i="19"/>
  <c r="Q29" i="19"/>
  <c r="N29" i="19"/>
  <c r="I28" i="19"/>
  <c r="X28" i="19" s="1"/>
  <c r="S28" i="19"/>
  <c r="X26" i="19"/>
  <c r="V26" i="19"/>
  <c r="U26" i="19"/>
  <c r="W26" i="19"/>
  <c r="T26" i="19"/>
  <c r="S26" i="19"/>
  <c r="Q26" i="19"/>
  <c r="N26" i="19"/>
  <c r="I25" i="19"/>
  <c r="Q25" i="19" s="1"/>
  <c r="X23" i="19"/>
  <c r="V23" i="19"/>
  <c r="U23" i="19"/>
  <c r="W23" i="19"/>
  <c r="T23" i="19"/>
  <c r="S23" i="19"/>
  <c r="Q23" i="19"/>
  <c r="N23" i="19"/>
  <c r="I22" i="19"/>
  <c r="X22" i="19" s="1"/>
  <c r="X20" i="19"/>
  <c r="V20" i="19"/>
  <c r="U20" i="19"/>
  <c r="W20" i="19" s="1"/>
  <c r="T20" i="19"/>
  <c r="S20" i="19"/>
  <c r="Q20" i="19"/>
  <c r="N20" i="19"/>
  <c r="I19" i="19"/>
  <c r="X19" i="19" s="1"/>
  <c r="X17" i="19"/>
  <c r="V17" i="19"/>
  <c r="U17" i="19"/>
  <c r="W17" i="19" s="1"/>
  <c r="T17" i="19"/>
  <c r="S17" i="19"/>
  <c r="Q17" i="19"/>
  <c r="N17" i="19"/>
  <c r="I16" i="19"/>
  <c r="X16" i="19" s="1"/>
  <c r="X14" i="19"/>
  <c r="V14" i="19"/>
  <c r="U14" i="19"/>
  <c r="W14" i="19" s="1"/>
  <c r="T14" i="19"/>
  <c r="S14" i="19"/>
  <c r="Q14" i="19"/>
  <c r="N14" i="19"/>
  <c r="I13" i="19"/>
  <c r="X11" i="19"/>
  <c r="V11" i="19"/>
  <c r="U11" i="19"/>
  <c r="W11" i="19" s="1"/>
  <c r="T11" i="19"/>
  <c r="S11" i="19"/>
  <c r="Q11" i="19"/>
  <c r="N11" i="19"/>
  <c r="I7" i="19"/>
  <c r="X7" i="19" s="1"/>
  <c r="A2" i="22"/>
  <c r="A2" i="33"/>
  <c r="B6" i="19"/>
  <c r="T8" i="19"/>
  <c r="R55" i="19"/>
  <c r="P55" i="19"/>
  <c r="G26" i="2" s="1"/>
  <c r="F26" i="4" s="1"/>
  <c r="B4" i="8"/>
  <c r="A5" i="8"/>
  <c r="I10" i="19"/>
  <c r="X10" i="19" s="1"/>
  <c r="X8" i="19"/>
  <c r="S8" i="19"/>
  <c r="V8" i="19"/>
  <c r="U8" i="19"/>
  <c r="W8" i="19"/>
  <c r="Q8" i="19"/>
  <c r="N8" i="19"/>
  <c r="U7" i="19"/>
  <c r="W7" i="19" s="1"/>
  <c r="X39" i="31"/>
  <c r="X36" i="31"/>
  <c r="X33" i="31"/>
  <c r="X30" i="31"/>
  <c r="X27" i="31"/>
  <c r="X24" i="31"/>
  <c r="X21" i="31"/>
  <c r="X18" i="31"/>
  <c r="X15" i="31"/>
  <c r="X12" i="31"/>
  <c r="A3" i="22"/>
  <c r="A3" i="33" s="1"/>
  <c r="B4" i="2"/>
  <c r="A1" i="3" s="1"/>
  <c r="B3" i="2"/>
  <c r="D3" i="2"/>
  <c r="D4" i="2"/>
  <c r="B1" i="3" s="1"/>
  <c r="A5" i="33"/>
  <c r="E11" i="33"/>
  <c r="E17" i="33"/>
  <c r="E26" i="33" s="1"/>
  <c r="D6" i="4" s="1"/>
  <c r="E20" i="33"/>
  <c r="A5" i="22"/>
  <c r="E11" i="22"/>
  <c r="E17" i="22"/>
  <c r="E26" i="22" s="1"/>
  <c r="D5" i="4" s="1"/>
  <c r="H11" i="4" s="1"/>
  <c r="I11" i="4" s="1"/>
  <c r="E20" i="22"/>
  <c r="B9" i="5"/>
  <c r="A7" i="31" s="1"/>
  <c r="C9" i="5"/>
  <c r="B7" i="31" s="1"/>
  <c r="B12" i="5"/>
  <c r="A10" i="31" s="1"/>
  <c r="C12" i="5"/>
  <c r="B10" i="31" s="1"/>
  <c r="B15" i="5"/>
  <c r="A13" i="31" s="1"/>
  <c r="C15" i="5"/>
  <c r="B13" i="31" s="1"/>
  <c r="A3" i="3"/>
  <c r="B18" i="5"/>
  <c r="A16" i="31" s="1"/>
  <c r="B3" i="3"/>
  <c r="C18" i="5"/>
  <c r="B16" i="31" s="1"/>
  <c r="A16" i="3"/>
  <c r="B21" i="5"/>
  <c r="A19" i="31" s="1"/>
  <c r="B16" i="3"/>
  <c r="C21" i="5"/>
  <c r="B19" i="31" s="1"/>
  <c r="B24" i="5"/>
  <c r="A22" i="31" s="1"/>
  <c r="C24" i="5"/>
  <c r="B22" i="31" s="1"/>
  <c r="B27" i="5"/>
  <c r="A25" i="31" s="1"/>
  <c r="C28" i="5"/>
  <c r="B25" i="31" s="1"/>
  <c r="B30" i="5"/>
  <c r="A28" i="31" s="1"/>
  <c r="B37" i="3"/>
  <c r="C30" i="5"/>
  <c r="B28" i="31" s="1"/>
  <c r="B33" i="5"/>
  <c r="A31" i="31" s="1"/>
  <c r="C33" i="5"/>
  <c r="B31" i="31" s="1"/>
  <c r="B36" i="5"/>
  <c r="A34" i="31" s="1"/>
  <c r="C36" i="5"/>
  <c r="B34" i="31" s="1"/>
  <c r="B39" i="5"/>
  <c r="A37" i="31" s="1"/>
  <c r="C39" i="5"/>
  <c r="B37" i="31" s="1"/>
  <c r="X9" i="31"/>
  <c r="V7" i="19"/>
  <c r="S7" i="19"/>
  <c r="Q7" i="19"/>
  <c r="Q49" i="19"/>
  <c r="S49" i="19"/>
  <c r="T49" i="19"/>
  <c r="U49" i="19"/>
  <c r="W49" i="19" s="1"/>
  <c r="V49" i="19"/>
  <c r="S46" i="19"/>
  <c r="U31" i="19"/>
  <c r="W31" i="19" s="1"/>
  <c r="T28" i="19"/>
  <c r="U28" i="19"/>
  <c r="W28" i="19" s="1"/>
  <c r="V28" i="19"/>
  <c r="N28" i="19"/>
  <c r="S25" i="19"/>
  <c r="T25" i="19"/>
  <c r="U25" i="19"/>
  <c r="W25" i="19" s="1"/>
  <c r="V25" i="19"/>
  <c r="X25" i="19"/>
  <c r="N19" i="19"/>
  <c r="N22" i="19"/>
  <c r="Q22" i="19"/>
  <c r="N16" i="19"/>
  <c r="Q19" i="19"/>
  <c r="S22" i="19"/>
  <c r="T46" i="19"/>
  <c r="N13" i="19"/>
  <c r="Q16" i="19"/>
  <c r="S19" i="19"/>
  <c r="T22" i="19"/>
  <c r="U46" i="19"/>
  <c r="W46" i="19" s="1"/>
  <c r="S16" i="19"/>
  <c r="T19" i="19"/>
  <c r="U22" i="19"/>
  <c r="W22" i="19" s="1"/>
  <c r="V46" i="19"/>
  <c r="S13" i="19"/>
  <c r="T16" i="19"/>
  <c r="U19" i="19"/>
  <c r="W19" i="19"/>
  <c r="V22" i="19"/>
  <c r="T13" i="19"/>
  <c r="U16" i="19"/>
  <c r="W16" i="19" s="1"/>
  <c r="V19" i="19"/>
  <c r="N40" i="19"/>
  <c r="V16" i="19"/>
  <c r="N37" i="19"/>
  <c r="Q40" i="19"/>
  <c r="Q37" i="19"/>
  <c r="S40" i="19"/>
  <c r="S37" i="19"/>
  <c r="T40" i="19"/>
  <c r="S34" i="19"/>
  <c r="T37" i="19"/>
  <c r="U40" i="19"/>
  <c r="W40" i="19" s="1"/>
  <c r="T34" i="19"/>
  <c r="U37" i="19"/>
  <c r="W37" i="19" s="1"/>
  <c r="V40" i="19"/>
  <c r="U34" i="19"/>
  <c r="W34" i="19" s="1"/>
  <c r="V37" i="19"/>
  <c r="Q28" i="19"/>
  <c r="S31" i="19"/>
  <c r="V34" i="19"/>
  <c r="N52" i="19"/>
  <c r="N46" i="19"/>
  <c r="N34" i="19"/>
  <c r="N25" i="19"/>
  <c r="G27" i="2"/>
  <c r="F27" i="4" s="1"/>
  <c r="N7" i="19"/>
  <c r="H27" i="4" l="1"/>
  <c r="I27" i="4" s="1"/>
  <c r="H24" i="4"/>
  <c r="H26" i="4"/>
  <c r="I26" i="4" s="1"/>
  <c r="H65" i="4"/>
  <c r="H36" i="4"/>
  <c r="H38" i="4"/>
  <c r="H40" i="4"/>
  <c r="H42" i="4"/>
  <c r="H82" i="4"/>
  <c r="I82" i="4" s="1"/>
  <c r="H84" i="4"/>
  <c r="I84" i="4" s="1"/>
  <c r="H86" i="4"/>
  <c r="I86" i="4" s="1"/>
  <c r="H88" i="4"/>
  <c r="I88" i="4" s="1"/>
  <c r="H90" i="4"/>
  <c r="I90" i="4" s="1"/>
  <c r="H92" i="4"/>
  <c r="I92" i="4" s="1"/>
  <c r="H94" i="4"/>
  <c r="I94" i="4" s="1"/>
  <c r="H96" i="4"/>
  <c r="I96" i="4" s="1"/>
  <c r="H19" i="4"/>
  <c r="H21" i="4"/>
  <c r="H53" i="4"/>
  <c r="I53" i="4" s="1"/>
  <c r="H58" i="4"/>
  <c r="I58" i="4" s="1"/>
  <c r="H9" i="4"/>
  <c r="I9" i="4" s="1"/>
  <c r="H20" i="4"/>
  <c r="H54" i="4"/>
  <c r="I54" i="4" s="1"/>
  <c r="H10" i="4"/>
  <c r="I10" i="4" s="1"/>
  <c r="H29" i="4"/>
  <c r="H46" i="4"/>
  <c r="H48" i="4"/>
  <c r="I48" i="4" s="1"/>
  <c r="H60" i="4"/>
  <c r="H62" i="4"/>
  <c r="H64" i="4"/>
  <c r="H66" i="4"/>
  <c r="H68" i="4"/>
  <c r="H77" i="4"/>
  <c r="H79" i="4"/>
  <c r="H30" i="4"/>
  <c r="H49" i="4"/>
  <c r="I49" i="4" s="1"/>
  <c r="H63" i="4"/>
  <c r="H25" i="4"/>
  <c r="H47" i="4"/>
  <c r="H61" i="4"/>
  <c r="H67" i="4"/>
  <c r="H78" i="4"/>
  <c r="H33" i="4"/>
  <c r="H35" i="4"/>
  <c r="H37" i="4"/>
  <c r="H39" i="4"/>
  <c r="H41" i="4"/>
  <c r="H43" i="4"/>
  <c r="H52" i="4"/>
  <c r="H57" i="4"/>
  <c r="I57" i="4" s="1"/>
  <c r="H83" i="4"/>
  <c r="I83" i="4" s="1"/>
  <c r="H85" i="4"/>
  <c r="I85" i="4" s="1"/>
  <c r="H87" i="4"/>
  <c r="I87" i="4" s="1"/>
  <c r="H89" i="4"/>
  <c r="I89" i="4" s="1"/>
  <c r="H91" i="4"/>
  <c r="I91" i="4" s="1"/>
  <c r="H93" i="4"/>
  <c r="I93" i="4" s="1"/>
  <c r="H95" i="4"/>
  <c r="I95" i="4" s="1"/>
  <c r="H97" i="4"/>
  <c r="I97" i="4" s="1"/>
  <c r="H28" i="4"/>
  <c r="H59" i="4"/>
  <c r="I59" i="4" s="1"/>
  <c r="H69" i="4"/>
  <c r="I69" i="4" s="1"/>
  <c r="N31" i="19"/>
  <c r="V43" i="19"/>
  <c r="I55" i="19"/>
  <c r="I5" i="4" s="1"/>
  <c r="E218" i="28"/>
  <c r="H18" i="4"/>
  <c r="D111" i="8"/>
  <c r="T10" i="19"/>
  <c r="U10" i="19"/>
  <c r="W10" i="19" s="1"/>
  <c r="E221" i="28"/>
  <c r="E223" i="28" s="1"/>
  <c r="H12" i="4"/>
  <c r="I12" i="4" s="1"/>
  <c r="E220" i="28"/>
  <c r="H15" i="4"/>
  <c r="I15" i="4" s="1"/>
  <c r="J15" i="4" s="1"/>
  <c r="D12" i="5" s="1"/>
  <c r="E10" i="31" s="1"/>
  <c r="V10" i="19"/>
  <c r="Q43" i="19"/>
  <c r="T43" i="19"/>
  <c r="O55" i="19"/>
  <c r="N43" i="19"/>
  <c r="Q31" i="19"/>
  <c r="H34" i="4"/>
  <c r="H73" i="4"/>
  <c r="I73" i="4" s="1"/>
  <c r="H72" i="4"/>
  <c r="I72" i="4" s="1"/>
  <c r="H74" i="4"/>
  <c r="I74" i="4" s="1"/>
  <c r="T7" i="19"/>
  <c r="T55" i="19" s="1"/>
  <c r="N10" i="19"/>
  <c r="N55" i="19" s="1"/>
  <c r="G24" i="2" s="1"/>
  <c r="F24" i="4" s="1"/>
  <c r="V31" i="19"/>
  <c r="J86" i="8"/>
  <c r="D116" i="8" s="1"/>
  <c r="G62" i="2" s="1"/>
  <c r="F62" i="4" s="1"/>
  <c r="S10" i="19"/>
  <c r="S55" i="19" s="1"/>
  <c r="G34" i="2" s="1"/>
  <c r="F34" i="4" s="1"/>
  <c r="I34" i="4" s="1"/>
  <c r="U43" i="19"/>
  <c r="W43" i="19" s="1"/>
  <c r="G79" i="2"/>
  <c r="F79" i="4" s="1"/>
  <c r="J27" i="40"/>
  <c r="J17" i="40"/>
  <c r="D7" i="3"/>
  <c r="G25" i="2"/>
  <c r="F25" i="4" s="1"/>
  <c r="G68" i="2"/>
  <c r="F68" i="4" s="1"/>
  <c r="G78" i="2"/>
  <c r="F78" i="4" s="1"/>
  <c r="X55" i="19"/>
  <c r="E227" i="28"/>
  <c r="E217" i="28"/>
  <c r="G77" i="2"/>
  <c r="F77" i="4" s="1"/>
  <c r="E219" i="28"/>
  <c r="E222" i="28" s="1"/>
  <c r="I57" i="19"/>
  <c r="G5" i="4" s="1"/>
  <c r="G47" i="2"/>
  <c r="F47" i="4" s="1"/>
  <c r="I85" i="8"/>
  <c r="V13" i="19"/>
  <c r="Q10" i="19"/>
  <c r="J13" i="40"/>
  <c r="X13" i="19"/>
  <c r="D108" i="8"/>
  <c r="J15" i="40"/>
  <c r="J19" i="40"/>
  <c r="J21" i="40"/>
  <c r="U13" i="19"/>
  <c r="W13" i="19" s="1"/>
  <c r="W55" i="19" s="1"/>
  <c r="U52" i="19"/>
  <c r="W52" i="19" s="1"/>
  <c r="D110" i="8"/>
  <c r="J23" i="40"/>
  <c r="J25" i="40"/>
  <c r="Q13" i="19"/>
  <c r="I78" i="4" l="1"/>
  <c r="I77" i="4"/>
  <c r="I79" i="4"/>
  <c r="I47" i="4"/>
  <c r="J12" i="4"/>
  <c r="I68" i="4"/>
  <c r="I62" i="4"/>
  <c r="I25" i="4"/>
  <c r="I24" i="4"/>
  <c r="G36" i="2"/>
  <c r="F36" i="4" s="1"/>
  <c r="I36" i="4" s="1"/>
  <c r="G20" i="2"/>
  <c r="F20" i="4" s="1"/>
  <c r="I20" i="4" s="1"/>
  <c r="J97" i="4"/>
  <c r="D39" i="5" s="1"/>
  <c r="E37" i="31" s="1"/>
  <c r="J74" i="4"/>
  <c r="Q55" i="19"/>
  <c r="V55" i="19"/>
  <c r="G38" i="2" s="1"/>
  <c r="F38" i="4" s="1"/>
  <c r="I38" i="4" s="1"/>
  <c r="G19" i="2"/>
  <c r="F19" i="4" s="1"/>
  <c r="I19" i="4" s="1"/>
  <c r="G35" i="2"/>
  <c r="F35" i="4" s="1"/>
  <c r="I35" i="4" s="1"/>
  <c r="D115" i="8"/>
  <c r="G61" i="2" s="1"/>
  <c r="F61" i="4" s="1"/>
  <c r="I61" i="4" s="1"/>
  <c r="G39" i="2"/>
  <c r="F39" i="4" s="1"/>
  <c r="I39" i="4" s="1"/>
  <c r="G40" i="2"/>
  <c r="F40" i="4" s="1"/>
  <c r="I40" i="4" s="1"/>
  <c r="G46" i="2"/>
  <c r="F46" i="4" s="1"/>
  <c r="I46" i="4" s="1"/>
  <c r="J49" i="4" s="1"/>
  <c r="E224" i="28"/>
  <c r="U55" i="19"/>
  <c r="G37" i="2" s="1"/>
  <c r="F37" i="4" s="1"/>
  <c r="I37" i="4" s="1"/>
  <c r="I10" i="31"/>
  <c r="R10" i="31"/>
  <c r="O10" i="31"/>
  <c r="F10" i="31"/>
  <c r="L10" i="31"/>
  <c r="U10" i="31"/>
  <c r="D21" i="3"/>
  <c r="G30" i="2"/>
  <c r="F30" i="4" s="1"/>
  <c r="I30" i="4" s="1"/>
  <c r="G21" i="2"/>
  <c r="F21" i="4" s="1"/>
  <c r="I21" i="4" s="1"/>
  <c r="G52" i="2"/>
  <c r="F52" i="4" s="1"/>
  <c r="I52" i="4" s="1"/>
  <c r="J54" i="4" s="1"/>
  <c r="D27" i="5" s="1"/>
  <c r="D13" i="3"/>
  <c r="H13" i="3" s="1"/>
  <c r="J13" i="3" s="1"/>
  <c r="J14" i="3" s="1"/>
  <c r="G29" i="2" s="1"/>
  <c r="F29" i="4" s="1"/>
  <c r="I29" i="4" s="1"/>
  <c r="H7" i="3"/>
  <c r="J7" i="3" s="1"/>
  <c r="J8" i="3" s="1"/>
  <c r="G28" i="2" s="1"/>
  <c r="F28" i="4" s="1"/>
  <c r="D113" i="8"/>
  <c r="G66" i="2" s="1"/>
  <c r="F66" i="4" s="1"/>
  <c r="I66" i="4" s="1"/>
  <c r="D45" i="5"/>
  <c r="G4" i="2" s="1"/>
  <c r="G18" i="2"/>
  <c r="F18" i="4" s="1"/>
  <c r="I18" i="4" s="1"/>
  <c r="G33" i="2"/>
  <c r="F33" i="4" s="1"/>
  <c r="I33" i="4" s="1"/>
  <c r="D112" i="8"/>
  <c r="G60" i="2" s="1"/>
  <c r="F60" i="4" s="1"/>
  <c r="I60" i="4" s="1"/>
  <c r="J79" i="4" l="1"/>
  <c r="D36" i="5" s="1"/>
  <c r="E34" i="31" s="1"/>
  <c r="L34" i="31" s="1"/>
  <c r="D20" i="3"/>
  <c r="D114" i="8"/>
  <c r="G63" i="2" s="1"/>
  <c r="F63" i="4" s="1"/>
  <c r="I63" i="4" s="1"/>
  <c r="J21" i="4"/>
  <c r="L37" i="31"/>
  <c r="I37" i="31"/>
  <c r="O37" i="31"/>
  <c r="I28" i="4"/>
  <c r="J30" i="4" s="1"/>
  <c r="D33" i="5"/>
  <c r="E31" i="31" s="1"/>
  <c r="X10" i="31"/>
  <c r="Y10" i="31" s="1"/>
  <c r="D24" i="5"/>
  <c r="E22" i="31" s="1"/>
  <c r="D28" i="3"/>
  <c r="H28" i="3" s="1"/>
  <c r="J28" i="3" s="1"/>
  <c r="H21" i="3"/>
  <c r="J21" i="3" s="1"/>
  <c r="D34" i="3"/>
  <c r="H34" i="3" s="1"/>
  <c r="J34" i="3" s="1"/>
  <c r="J35" i="3" s="1"/>
  <c r="G43" i="2" s="1"/>
  <c r="F43" i="4" s="1"/>
  <c r="I43" i="4" s="1"/>
  <c r="D27" i="3"/>
  <c r="H27" i="3" s="1"/>
  <c r="J27" i="3" s="1"/>
  <c r="H20" i="3"/>
  <c r="J20" i="3" s="1"/>
  <c r="G67" i="2"/>
  <c r="F67" i="4" s="1"/>
  <c r="I67" i="4" s="1"/>
  <c r="D41" i="3"/>
  <c r="D9" i="5"/>
  <c r="E7" i="31" s="1"/>
  <c r="O34" i="31" l="1"/>
  <c r="I34" i="31"/>
  <c r="X34" i="31" s="1"/>
  <c r="Y34" i="31" s="1"/>
  <c r="J22" i="3"/>
  <c r="G41" i="2" s="1"/>
  <c r="F41" i="4" s="1"/>
  <c r="I41" i="4" s="1"/>
  <c r="J29" i="3"/>
  <c r="G42" i="2" s="1"/>
  <c r="F42" i="4" s="1"/>
  <c r="I42" i="4" s="1"/>
  <c r="U22" i="31"/>
  <c r="R22" i="31"/>
  <c r="X22" i="31" s="1"/>
  <c r="Y22" i="31" s="1"/>
  <c r="I31" i="31"/>
  <c r="L31" i="31"/>
  <c r="X31" i="31" s="1"/>
  <c r="Y31" i="31" s="1"/>
  <c r="X37" i="31"/>
  <c r="Y37" i="31" s="1"/>
  <c r="D18" i="5"/>
  <c r="E16" i="31" s="1"/>
  <c r="E25" i="31"/>
  <c r="D47" i="3"/>
  <c r="H47" i="3" s="1"/>
  <c r="J47" i="3" s="1"/>
  <c r="J48" i="3" s="1"/>
  <c r="G65" i="2" s="1"/>
  <c r="F65" i="4" s="1"/>
  <c r="I65" i="4" s="1"/>
  <c r="H41" i="3"/>
  <c r="J41" i="3" s="1"/>
  <c r="J42" i="3" s="1"/>
  <c r="G64" i="2" s="1"/>
  <c r="F64" i="4" s="1"/>
  <c r="I64" i="4" s="1"/>
  <c r="J69" i="4" s="1"/>
  <c r="J43" i="4" l="1"/>
  <c r="D21" i="5" s="1"/>
  <c r="E19" i="31" s="1"/>
  <c r="O19" i="31" s="1"/>
  <c r="J99" i="4"/>
  <c r="L16" i="31"/>
  <c r="I16" i="31"/>
  <c r="O16" i="31"/>
  <c r="F16" i="31"/>
  <c r="O25" i="31"/>
  <c r="U25" i="31"/>
  <c r="R25" i="31"/>
  <c r="F103" i="4"/>
  <c r="D30" i="5"/>
  <c r="E28" i="31" s="1"/>
  <c r="G103" i="2"/>
  <c r="U7" i="31"/>
  <c r="R7" i="31"/>
  <c r="L7" i="31"/>
  <c r="F7" i="31"/>
  <c r="O7" i="31"/>
  <c r="I7" i="31"/>
  <c r="D15" i="5"/>
  <c r="E13" i="31" s="1"/>
  <c r="I19" i="31" l="1"/>
  <c r="F19" i="31"/>
  <c r="X19" i="31" s="1"/>
  <c r="Y19" i="31" s="1"/>
  <c r="L19" i="31"/>
  <c r="X25" i="31"/>
  <c r="Y25" i="31" s="1"/>
  <c r="X16" i="31"/>
  <c r="F105" i="4"/>
  <c r="I28" i="31"/>
  <c r="U28" i="31"/>
  <c r="O28" i="31"/>
  <c r="L28" i="31"/>
  <c r="R28" i="31"/>
  <c r="D43" i="5"/>
  <c r="X7" i="31"/>
  <c r="Y7" i="31" s="1"/>
  <c r="X28" i="31" l="1"/>
  <c r="Y28" i="31" s="1"/>
  <c r="D47" i="5"/>
  <c r="D46" i="5"/>
  <c r="L13" i="31"/>
  <c r="L41" i="31" s="1"/>
  <c r="F13" i="31"/>
  <c r="U13" i="31"/>
  <c r="U41" i="31" s="1"/>
  <c r="I13" i="31"/>
  <c r="I41" i="31" s="1"/>
  <c r="R13" i="31"/>
  <c r="R41" i="31" s="1"/>
  <c r="O13" i="31"/>
  <c r="O41" i="31" s="1"/>
  <c r="E40" i="31"/>
  <c r="E44" i="31"/>
  <c r="D34" i="31" l="1"/>
  <c r="D28" i="31"/>
  <c r="D25" i="31"/>
  <c r="D19" i="31"/>
  <c r="D31" i="31"/>
  <c r="D16" i="31"/>
  <c r="D37" i="31"/>
  <c r="D23" i="31"/>
  <c r="D10" i="31"/>
  <c r="D7" i="31"/>
  <c r="I40" i="31"/>
  <c r="U40" i="31"/>
  <c r="R40" i="31"/>
  <c r="X13" i="31"/>
  <c r="F41" i="31"/>
  <c r="O40" i="31"/>
  <c r="D13" i="31"/>
  <c r="L40" i="31"/>
  <c r="D40" i="31" l="1"/>
  <c r="Y13" i="31"/>
  <c r="Y40" i="31"/>
  <c r="F42" i="31"/>
  <c r="I42" i="31" s="1"/>
  <c r="L42" i="31" s="1"/>
  <c r="O42" i="31" s="1"/>
  <c r="R42" i="31" s="1"/>
  <c r="U42" i="31" s="1"/>
  <c r="F40" i="31"/>
  <c r="X40" i="31" s="1"/>
  <c r="X41" i="31"/>
  <c r="Y42" i="31" l="1"/>
</calcChain>
</file>

<file path=xl/sharedStrings.xml><?xml version="1.0" encoding="utf-8"?>
<sst xmlns="http://schemas.openxmlformats.org/spreadsheetml/2006/main" count="2848" uniqueCount="825">
  <si>
    <t>DISCRIMINAÇÃO</t>
  </si>
  <si>
    <t>UNIDADE</t>
  </si>
  <si>
    <t>QUANTIDADE</t>
  </si>
  <si>
    <t>TERRAPLENAGEM</t>
  </si>
  <si>
    <t>m³</t>
  </si>
  <si>
    <t>PAVIMENTAÇÃO</t>
  </si>
  <si>
    <t>m²</t>
  </si>
  <si>
    <t>DRENAGEM</t>
  </si>
  <si>
    <t>m</t>
  </si>
  <si>
    <t>unid</t>
  </si>
  <si>
    <t>OBRAS COMPLEMENTARES</t>
  </si>
  <si>
    <t>x</t>
  </si>
  <si>
    <t>UNID.</t>
  </si>
  <si>
    <t>QUANT.</t>
  </si>
  <si>
    <t>P. UNIT.</t>
  </si>
  <si>
    <t>SUBTOTAL</t>
  </si>
  <si>
    <t>TOTAL</t>
  </si>
  <si>
    <t>CÓDIGO</t>
  </si>
  <si>
    <t>SERVIÇO</t>
  </si>
  <si>
    <t>MATERIAL</t>
  </si>
  <si>
    <t>UNID</t>
  </si>
  <si>
    <t>F.UTILIZAÇÃO</t>
  </si>
  <si>
    <t>PESO(T) A TRANSPORTAR</t>
  </si>
  <si>
    <t>DMT(KM)</t>
  </si>
  <si>
    <t>MOMENTO DE TRANSPORTE(t.km)</t>
  </si>
  <si>
    <t>FATOR</t>
  </si>
  <si>
    <t>Solo</t>
  </si>
  <si>
    <t>t/m³</t>
  </si>
  <si>
    <t>II</t>
  </si>
  <si>
    <t>III</t>
  </si>
  <si>
    <t>IV</t>
  </si>
  <si>
    <t>SERVIÇOS PRELIMINARES</t>
  </si>
  <si>
    <t>V</t>
  </si>
  <si>
    <t xml:space="preserve">ANEXO </t>
  </si>
  <si>
    <t>VALOR (R$)</t>
  </si>
  <si>
    <t>VI</t>
  </si>
  <si>
    <t>TOTAL  GERAL</t>
  </si>
  <si>
    <t>ITEM</t>
  </si>
  <si>
    <t>2.0</t>
  </si>
  <si>
    <t>3.0</t>
  </si>
  <si>
    <t>3.2</t>
  </si>
  <si>
    <t>OBRA</t>
  </si>
  <si>
    <t>PAVIMENTAÇÃO DE VIAS URBANAS</t>
  </si>
  <si>
    <t>4.0</t>
  </si>
  <si>
    <t>4.1</t>
  </si>
  <si>
    <t>5.0</t>
  </si>
  <si>
    <t>ÁREA (m²)</t>
  </si>
  <si>
    <t>3.1</t>
  </si>
  <si>
    <t>5.1</t>
  </si>
  <si>
    <t>2.1</t>
  </si>
  <si>
    <t>1.0</t>
  </si>
  <si>
    <t>1.1</t>
  </si>
  <si>
    <t>1.2</t>
  </si>
  <si>
    <t>5.2</t>
  </si>
  <si>
    <t>Aluguel container/sanit c/2 vasos/1 lavat/1 mic/4 chuv larg2,20m compr=6,20m alt=2,50m chapa aco c/nerv trapez forro c/isolam termo/acustico chassis reforc piso compens naval inclinst eletr/hidr excl transp/carga/descarga</t>
  </si>
  <si>
    <t>mês</t>
  </si>
  <si>
    <t>3.3</t>
  </si>
  <si>
    <t>3.4</t>
  </si>
  <si>
    <t>txkm</t>
  </si>
  <si>
    <t>massa</t>
  </si>
  <si>
    <t>TERRAPLENAGEM E PAVIMENTAÇÃO</t>
  </si>
  <si>
    <t>LOGRADOURO</t>
  </si>
  <si>
    <t>ESTACAS</t>
  </si>
  <si>
    <t>EXTENSÃO (m)</t>
  </si>
  <si>
    <t>LARGURA TOTAL  (m)</t>
  </si>
  <si>
    <t>SUBLEITO (m²)</t>
  </si>
  <si>
    <t>MEIO-FIO C/ SARJETA  (m)</t>
  </si>
  <si>
    <t>INICIAL</t>
  </si>
  <si>
    <t>FINAL</t>
  </si>
  <si>
    <t>FOLGA</t>
  </si>
  <si>
    <t xml:space="preserve">LARGURA DA PISTA </t>
  </si>
  <si>
    <t>ATERRO (m³)</t>
  </si>
  <si>
    <t xml:space="preserve">LE </t>
  </si>
  <si>
    <t>LD</t>
  </si>
  <si>
    <t>+</t>
  </si>
  <si>
    <t>TOTAL/M² (R$)</t>
  </si>
  <si>
    <t xml:space="preserve"> RESUMO  DOS  PREÇOS</t>
  </si>
  <si>
    <t>DATA BASE:</t>
  </si>
  <si>
    <t>LIMPEZA CAMADA VEGETAL (m²)</t>
  </si>
  <si>
    <t>Despesas Financeiras</t>
  </si>
  <si>
    <t>Riscos</t>
  </si>
  <si>
    <t>CPRB</t>
  </si>
  <si>
    <t>PERCENTUAL</t>
  </si>
  <si>
    <t>BDI</t>
  </si>
  <si>
    <t>CUSTO OBRA</t>
  </si>
  <si>
    <t>Outras Fontes</t>
  </si>
  <si>
    <t>VALOR DA OBRA</t>
  </si>
  <si>
    <t>( % )</t>
  </si>
  <si>
    <t>R$</t>
  </si>
  <si>
    <t>ADMINISTRAÇÃO DA OBRA</t>
  </si>
  <si>
    <t>Administração Central</t>
  </si>
  <si>
    <t>1.3</t>
  </si>
  <si>
    <t>LUCRO</t>
  </si>
  <si>
    <t>Lucro Operacional</t>
  </si>
  <si>
    <t>TRIBUTOS</t>
  </si>
  <si>
    <t>Não incidem IRPJ e CSLL na composição de Tributos.</t>
  </si>
  <si>
    <t xml:space="preserve">TAXA DE BDI A SER APLICADA 
SOBRE O CUSTO DIRETO </t>
  </si>
  <si>
    <t xml:space="preserve">De acordo com o ACÓRDÃO Nº 2622/2013 – TCU – Plenário </t>
  </si>
  <si>
    <t>PREFEITURA MUNICIPAL DE VÁRZEA GRANDE</t>
  </si>
  <si>
    <t xml:space="preserve">B.D.I. </t>
  </si>
  <si>
    <t>Isolamento de obra com tela plástica com malha de 5mm e estrutura de madeira pontaleteada</t>
  </si>
  <si>
    <t>Limpeza mecanizada de área com remoção de camada vegetal, utilizando motoniveladora</t>
  </si>
  <si>
    <t>Regularização e compactação de subleito até 20 cm de espessura</t>
  </si>
  <si>
    <t>Execução e compactação de sub base com solo estabilizado granulometricamente - exclusive escavação, carga e transporte e solo. af_09/2017</t>
  </si>
  <si>
    <t>Execução e compactação de base com solo estabilizado granulometricamente - exclusive escavação, carga e transporte e solo. af_09/2017</t>
  </si>
  <si>
    <t>Execução de imprimação com asfalto diluído CM-30. af_09/2017</t>
  </si>
  <si>
    <t>6.0</t>
  </si>
  <si>
    <t>SINALIZAÇÃO HORIZONTAL/VERTICAL</t>
  </si>
  <si>
    <t>6.1</t>
  </si>
  <si>
    <t>Sinalizacao horizontal com tinta retrorrefletiva a base de resina acrilica  c/ micro esfera de vidro</t>
  </si>
  <si>
    <t>6.2</t>
  </si>
  <si>
    <t>6.3</t>
  </si>
  <si>
    <t>SENTIDO</t>
  </si>
  <si>
    <t>COMPRIMENTO</t>
  </si>
  <si>
    <t>Área</t>
  </si>
  <si>
    <t>TIPO DE PINTURA</t>
  </si>
  <si>
    <t>(m)</t>
  </si>
  <si>
    <t>(m²)</t>
  </si>
  <si>
    <t>2X4</t>
  </si>
  <si>
    <t>Contínua</t>
  </si>
  <si>
    <t>TOTAL DE PINTURA DE FAIXAS</t>
  </si>
  <si>
    <t>LOCAL - Dist.</t>
  </si>
  <si>
    <t>OBSERVAÇÕES</t>
  </si>
  <si>
    <t>do bordo (Metros)</t>
  </si>
  <si>
    <t>TIPO</t>
  </si>
  <si>
    <t>DIMENSÕES</t>
  </si>
  <si>
    <t>ÁREAS(m²)</t>
  </si>
  <si>
    <t>Regulamentação</t>
  </si>
  <si>
    <t>VII</t>
  </si>
  <si>
    <t>Prazo ( dias consecutivos )</t>
  </si>
  <si>
    <t>Ítem</t>
  </si>
  <si>
    <t>Etapas de Serviço</t>
  </si>
  <si>
    <t>%</t>
  </si>
  <si>
    <t>Valor (R$)</t>
  </si>
  <si>
    <t>TOTAL ( % e R$ )</t>
  </si>
  <si>
    <t>DESEMBOLSO</t>
  </si>
  <si>
    <t xml:space="preserve"> SIMPLES</t>
  </si>
  <si>
    <t>ACUMULADO</t>
  </si>
  <si>
    <t>1.4</t>
  </si>
  <si>
    <t>Seguro e Garantia</t>
  </si>
  <si>
    <t>PIS</t>
  </si>
  <si>
    <t>COFINS</t>
  </si>
  <si>
    <t>ISSqn</t>
  </si>
  <si>
    <t>Formula para o calculo do BDI:</t>
  </si>
  <si>
    <t>Indicativa</t>
  </si>
  <si>
    <t>I-01</t>
  </si>
  <si>
    <t>ENSAIOS TECNOLÓGICOS DE SOLO E ASFALTO</t>
  </si>
  <si>
    <t>Ensaio de regularição de sub-leito</t>
  </si>
  <si>
    <t>Ensaio de base estabilizada granulometricamente</t>
  </si>
  <si>
    <t>un</t>
  </si>
  <si>
    <t>Placa de obra em chapa de aço galvanizado</t>
  </si>
  <si>
    <t>7.0</t>
  </si>
  <si>
    <t>7.1</t>
  </si>
  <si>
    <t>8.0</t>
  </si>
  <si>
    <t>8.1</t>
  </si>
  <si>
    <t>8.2</t>
  </si>
  <si>
    <t>Ensaio de resistência a compressão simples do concreto - meio-fio, sarjetas e calçadas 
(considerado 1,0 amostra a cada 200 m)</t>
  </si>
  <si>
    <t>ADMINISTRAÇÃO LOCAL</t>
  </si>
  <si>
    <t>Execução de depósito em canteiro de obra</t>
  </si>
  <si>
    <t>Indenização de jazida não condiz com o preço praticado na região (Preço praticado na jazida)</t>
  </si>
  <si>
    <t>5.4</t>
  </si>
  <si>
    <t>5.5</t>
  </si>
  <si>
    <t>5.6</t>
  </si>
  <si>
    <t>5.7</t>
  </si>
  <si>
    <t>5.8</t>
  </si>
  <si>
    <t>5.9</t>
  </si>
  <si>
    <t>5.10</t>
  </si>
  <si>
    <t>8.8</t>
  </si>
  <si>
    <t>Pintura de ligação com emulsão RR-2C</t>
  </si>
  <si>
    <t>Confecção de placa em aço nº 16 galvanizado, com película retrorrefletiva tipo I + III</t>
  </si>
  <si>
    <t>Pintura de setas e zebrados - tinta base acrílica - espessura de 0,6 mm</t>
  </si>
  <si>
    <t>8.4</t>
  </si>
  <si>
    <t>BANCO</t>
  </si>
  <si>
    <t>SINAPI</t>
  </si>
  <si>
    <t>COTAÇÃO</t>
  </si>
  <si>
    <t>m³xkm</t>
  </si>
  <si>
    <t>MOMENTO DE TRANSPORTE(m³.km)</t>
  </si>
  <si>
    <t>B.D.I. DIFERENCIADO</t>
  </si>
  <si>
    <t>7.2</t>
  </si>
  <si>
    <t>8.3</t>
  </si>
  <si>
    <t>8.5</t>
  </si>
  <si>
    <t>8.6</t>
  </si>
  <si>
    <t>8.7</t>
  </si>
  <si>
    <t>Placa esmaltada para identificação NR de Rua, dimensões 45X25cm</t>
  </si>
  <si>
    <t>Passadicos de madeira para pedestres</t>
  </si>
  <si>
    <t>Fornecimento e aplicação de Lastro de Brita  (com preparo de fundo de valas)</t>
  </si>
  <si>
    <t>8.9</t>
  </si>
  <si>
    <t>Espalhamento de material em bota fora, com utilizacao de trator de esteiras de 165 HP</t>
  </si>
  <si>
    <t>8.10</t>
  </si>
  <si>
    <t>Escoramento de vala, tipo pontaleteamento, com profundidade de 0 a 1,5 m, largura maior ou igual a 1,5 m e menor que 2,5 m, em local com nível alto de interferência. af_06/2016</t>
  </si>
  <si>
    <t>8.11</t>
  </si>
  <si>
    <t>9.0</t>
  </si>
  <si>
    <t>9.1</t>
  </si>
  <si>
    <t>10.0</t>
  </si>
  <si>
    <t xml:space="preserve">ASSENTAMENTO E REJUNTAMENTO DE TUBO DE CONCRETO </t>
  </si>
  <si>
    <t>10.1</t>
  </si>
  <si>
    <t>11.0</t>
  </si>
  <si>
    <t>ÓRGÃOS ACESSÓRIOS</t>
  </si>
  <si>
    <t>11.2</t>
  </si>
  <si>
    <t>11.3</t>
  </si>
  <si>
    <t>MEMÓRIA DE CÁLCULO DE VOLUMES DA DRENAGEM</t>
  </si>
  <si>
    <t>COMP. DO LANCE</t>
  </si>
  <si>
    <t>DIAMETRO (m)</t>
  </si>
  <si>
    <t xml:space="preserve">LARGURA </t>
  </si>
  <si>
    <t>CORTE</t>
  </si>
  <si>
    <t xml:space="preserve">CORTE </t>
  </si>
  <si>
    <t>ALTURA MEDIA</t>
  </si>
  <si>
    <t>VOLUME</t>
  </si>
  <si>
    <t>MONTANTE</t>
  </si>
  <si>
    <t>DOS CORTES</t>
  </si>
  <si>
    <t>TUBULAÇÃO</t>
  </si>
  <si>
    <t>ESCAVAÇÃO</t>
  </si>
  <si>
    <t>ÁREA</t>
  </si>
  <si>
    <t>REGULARIZAÇÃO DE FUNDO DE VALA</t>
  </si>
  <si>
    <t>solo</t>
  </si>
  <si>
    <t>REATERRO E COMPACTAÇÃO DE VALAS  TOTAL</t>
  </si>
  <si>
    <t>Fornecimento e implantação de suporte metálico galvanizado para placa de regulamentação - R1 - lado de 0,248 m</t>
  </si>
  <si>
    <t>6.4</t>
  </si>
  <si>
    <t>ESCAVAÇÃO DE VALAS</t>
  </si>
  <si>
    <t>Tipo de transporte 95878 Transporte local em rodov. pavim. (const.)</t>
  </si>
  <si>
    <t>Tipo  de transporte 93595  -  Transporte  local em rodovia  não  pavimentada (const)</t>
  </si>
  <si>
    <t>m³/m³</t>
  </si>
  <si>
    <t>Tipo  de transporte 93589  -  Transporte  local em rodovia  não  pavimentada (const)</t>
  </si>
  <si>
    <t>Tipo de transporte  95875 Transporte local em rodov. pavim. (const.)</t>
  </si>
  <si>
    <t>Transporte com caminhão basculante de 10 m3, em via urbana pavimentada, dmt até 30 km (unidade: tonxkm). af_12/2016</t>
  </si>
  <si>
    <t>Tipo  de transporte 95303  -  Transporte  comercial c/basculante de massa asfáltica</t>
  </si>
  <si>
    <t>Transporte com caminhão basculante de 10 m3, em via urbana em revestimento primário (unidade: tonxkm). af_04/2016</t>
  </si>
  <si>
    <t>PREFEITURA MUNICIPAL DE VÁZEA GRANDE</t>
  </si>
  <si>
    <t>P. UNIT. C/BDI</t>
  </si>
  <si>
    <t>Pavimentação de Vias Urbanas</t>
  </si>
  <si>
    <t>OBRA: Pavimentação de Vias Urbanas</t>
  </si>
  <si>
    <t>LOGRADOUROS</t>
  </si>
  <si>
    <t>4.4</t>
  </si>
  <si>
    <t>Escavacao mecanica de material 1a. categoria, proveniente de corte de subleito (c/trator esteiras 160hp)</t>
  </si>
  <si>
    <t>4.6</t>
  </si>
  <si>
    <t>4.7</t>
  </si>
  <si>
    <t>Transporte com caminhão basculante de 10 m3, em via urbana em revestimento primário (unidade: txkm). af_04/2016</t>
  </si>
  <si>
    <t>Transporte com caminhão basculante de 10 m3, em via urbana pavimentada, dmt até 30 km (unidade: txkm). af_12/2016</t>
  </si>
  <si>
    <t>Espalhamento de material em bota fora, com utilização de trator de esteiras de 165 hp</t>
  </si>
  <si>
    <t>-</t>
  </si>
  <si>
    <t>LASTRO DE BRITA</t>
  </si>
  <si>
    <t>4.3</t>
  </si>
  <si>
    <t>Compactação de aterros a 100% do Proctor intermediário</t>
  </si>
  <si>
    <t>SINAL DE PLACA</t>
  </si>
  <si>
    <t>R-01</t>
  </si>
  <si>
    <t>45X25 CM</t>
  </si>
  <si>
    <t>4.2</t>
  </si>
  <si>
    <t>4.5</t>
  </si>
  <si>
    <t>NÃO DESONERADO</t>
  </si>
  <si>
    <t>Transporte com caminhão basculante 10 m3 de massa asfáltica para pavimentação urbana</t>
  </si>
  <si>
    <t>5.3</t>
  </si>
  <si>
    <t>BDI - BENEFICIOS E DESPESAS INDIRETAS - NÃO DESONERADO</t>
  </si>
  <si>
    <t>I</t>
  </si>
  <si>
    <t>Carga e descarga de material betuminoso a quente com caminhão basculante 6m3, descarga em vibro-acabadora</t>
  </si>
  <si>
    <t>5.11</t>
  </si>
  <si>
    <t>TOTAL/KM (R$)</t>
  </si>
  <si>
    <t>Composição SINAPI - 73847/001</t>
  </si>
  <si>
    <t>Código</t>
  </si>
  <si>
    <t xml:space="preserve"> 73847/001 </t>
  </si>
  <si>
    <t>Descrição</t>
  </si>
  <si>
    <t>ALUGUEL CONTAINER/ESCRIT INCL INST ELET LARG=2,20 COMP=6,20M          ALT=2,50M CHAPA ACO C/NERV TRAPEZ FORRO C/ISOL TERMO/ACUSTICO         CHASSIS REFORC PISO COMPENS NAVAL EXC TRANSP/CARGA/DESCARGA</t>
  </si>
  <si>
    <t>Data</t>
  </si>
  <si>
    <t>Estado</t>
  </si>
  <si>
    <t>Mato Grosso</t>
  </si>
  <si>
    <t>Tipo</t>
  </si>
  <si>
    <t>CANT - CANTEIRO DE OBRAS</t>
  </si>
  <si>
    <t>Unidade</t>
  </si>
  <si>
    <t>MES</t>
  </si>
  <si>
    <t>codigo</t>
  </si>
  <si>
    <t>Valor sem Desoneração</t>
  </si>
  <si>
    <t>Coeficiente</t>
  </si>
  <si>
    <t xml:space="preserve"> 00010776 </t>
  </si>
  <si>
    <t>LOCACAO DE CONTAINER 2,30  X  6,00 M, ALT. 2,50 M, PARA ESCRITORIO, SEM DIVISORIAS INTERNAS E SEM SANITARIO</t>
  </si>
  <si>
    <t>Equipamento</t>
  </si>
  <si>
    <t>1,0</t>
  </si>
  <si>
    <t>REFORÇO (m³)</t>
  </si>
  <si>
    <t xml:space="preserve">Limpa Rodas </t>
  </si>
  <si>
    <t>ÁREA TOTAL</t>
  </si>
  <si>
    <t>Placas R-1 de Regulamentação</t>
  </si>
  <si>
    <t>Total</t>
  </si>
  <si>
    <t>Placas Indicativas</t>
  </si>
  <si>
    <t>LARGURA</t>
  </si>
  <si>
    <t>Faixa Branca (Bordos)</t>
  </si>
  <si>
    <t>Ambos os lados (ida e volta)</t>
  </si>
  <si>
    <t>Faixa Amarela (Eixo)</t>
  </si>
  <si>
    <t>Eixo da rua (Linha Seccionada)</t>
  </si>
  <si>
    <t>Eixo da rua (Linha simples contínua)</t>
  </si>
  <si>
    <t>Legenda no Pavimento</t>
  </si>
  <si>
    <t>Legenda (PARE) - 2 unidade</t>
  </si>
  <si>
    <t>Inscrições no Pav.</t>
  </si>
  <si>
    <t>LRE</t>
  </si>
  <si>
    <t>TOTAL DE PINTURA DE SETAS, ZEBRADOS E LETRAS</t>
  </si>
  <si>
    <t>TOTAL GERAL DE PINTURA</t>
  </si>
  <si>
    <t>MEDIA DE ESC. (m)</t>
  </si>
  <si>
    <t xml:space="preserve">DE CORTE (m³) </t>
  </si>
  <si>
    <t>RESUMO GERAL</t>
  </si>
  <si>
    <t xml:space="preserve">TOTAL DE BOTA FORA </t>
  </si>
  <si>
    <t>Escavação mecanizada de vala com prof. até 1,5 m (média entre montante e jusante/uma composição por trecho), com retroescavadeira (0,26 m3/88 hp), larg. de 1,5 m a 2,5 m, em solo de 1a categoria, em locais com alto nível de interferência. af_01/2015</t>
  </si>
  <si>
    <t>Reaterro mecanizado de vala com retroescavadeira (capacidade da caçamb a da retro: 0,26 m³ / potência: 88 hp), largura de 0,8 a 1,5 m, profun didade de 1,5 a 3,0 m, com solo (sem substituição) de 1ª categoria em locais com alto nível de interferência. af_04/2016</t>
  </si>
  <si>
    <t>7.3</t>
  </si>
  <si>
    <t>Guia (meio-fio) e sarjeta conjugados de concreto, moldada i n loco em trecho reto com extrusora, guia 13 cm base x 22 cm altura. af_06/2016</t>
  </si>
  <si>
    <t>Guia (meio-fio) e sarjeta conjugados de concreto, moldada i n loco em trecho curvo com extrusora, guia 13 cm base x 22 cm altura. af_06/2016</t>
  </si>
  <si>
    <t>JUZANTE</t>
  </si>
  <si>
    <t>CBUQ                (m³)</t>
  </si>
  <si>
    <t>IMPRIM.                   (m²)</t>
  </si>
  <si>
    <t>SUB-BASE                (m³)</t>
  </si>
  <si>
    <t>11.1</t>
  </si>
  <si>
    <t/>
  </si>
  <si>
    <t>CORTE                  (m³)</t>
  </si>
  <si>
    <t>PLANILHA ORÇAMENTÁRIA</t>
  </si>
  <si>
    <t>PINTURA DE LIGAÇÃO (m²)</t>
  </si>
  <si>
    <t>m/unid</t>
  </si>
  <si>
    <t>Legenda (PARE) - 1 unidade</t>
  </si>
  <si>
    <t>Entrada para Descidas D'água EDA02</t>
  </si>
  <si>
    <t>Descida D'Água de Aterros Tipo Rápido - DAR02</t>
  </si>
  <si>
    <t>Assentamento de tubo de concreto para redes coletoras de águas pluviai s, diâmetro de 800 mm, junta rígida, instalado em local com alto nível</t>
  </si>
  <si>
    <t>Entrada para descida d'água - EDA 02 - areia e brita comerciais</t>
  </si>
  <si>
    <t>Descida d'água de aterros tipo rápido - DAR 02 - areia e brita comerciais</t>
  </si>
  <si>
    <t>11.4</t>
  </si>
  <si>
    <t>0804385</t>
  </si>
  <si>
    <t>BASE                (m³)</t>
  </si>
  <si>
    <t xml:space="preserve">LOGRADOUROS: </t>
  </si>
  <si>
    <t>BAIRRO</t>
  </si>
  <si>
    <t>BAIRRO : MARIA ISABEL</t>
  </si>
  <si>
    <t>TOTAL GERAL</t>
  </si>
  <si>
    <t>Av. Manoel Eleoterio de Campos</t>
  </si>
  <si>
    <t>Rua Ana Candida de Oliveira</t>
  </si>
  <si>
    <t>Rua Aveiro</t>
  </si>
  <si>
    <t>Rua Bahia</t>
  </si>
  <si>
    <t>Rua Caldas da Rainha</t>
  </si>
  <si>
    <t>Rua Covilha</t>
  </si>
  <si>
    <t>Rua Ernani e Lopes</t>
  </si>
  <si>
    <t>Rua Figueira da Foz</t>
  </si>
  <si>
    <t>Rua Guarda</t>
  </si>
  <si>
    <t>Rua Porto</t>
  </si>
  <si>
    <t>Rua Porto Alegre</t>
  </si>
  <si>
    <t>Rua Santarém</t>
  </si>
  <si>
    <t>Rua Sem Nome</t>
  </si>
  <si>
    <t>Rua Setubal</t>
  </si>
  <si>
    <t>Rua Viseu</t>
  </si>
  <si>
    <t>Travessa da Praça</t>
  </si>
  <si>
    <t>MARIA ISABEL</t>
  </si>
  <si>
    <t>Av. Manoel Eleoterio de Campos, Rua Ana Candida de Oliveira, Rua Aveiro, Rua Bahia, Rua Caldas da Rainha, Rua Covilha, Rua Ernani e Lopes, Rua Figueira da Foz, Rua Guarda, Rua Porto, Rua Porto Alegre, Rua Santarém, Rua Sem Nome, Rua Setubal, Rua Viseu e Travessa da Praça</t>
  </si>
  <si>
    <t>SERVIÇOS</t>
  </si>
  <si>
    <t>SICRO</t>
  </si>
  <si>
    <t>EXTENSÃO (m)  :</t>
  </si>
  <si>
    <t xml:space="preserve">ÁREA (m²)  : </t>
  </si>
  <si>
    <t>DATA BASE   :</t>
  </si>
  <si>
    <t>BAIRRO MARIA ISABEL</t>
  </si>
  <si>
    <t>ÁREA FUNDO DE VALA (m²)</t>
  </si>
  <si>
    <t>Rua Setúbal (Tubulação Principal)</t>
  </si>
  <si>
    <t>Rua Bahia (Tubulação Principal)</t>
  </si>
  <si>
    <t>Rua Bahia (Tubulação Principal) - Lançamento</t>
  </si>
  <si>
    <t>Rua Ana Candida de oliveira (Tubulação Principal)</t>
  </si>
  <si>
    <t>Rua Porto (Tubulação Principal)</t>
  </si>
  <si>
    <t>Rua Caldas da Rainha (Tubulação Principal)</t>
  </si>
  <si>
    <t>Rua Viseu (Tubulação Principal)</t>
  </si>
  <si>
    <t>Ligação entre a R. Viseu e R. S/ Nome (Tubulação Principal)</t>
  </si>
  <si>
    <t>Rua S/ Nome (Tubulação Principal)</t>
  </si>
  <si>
    <t>Rua S/ Nome (Tubulação Principal) - Lançamento</t>
  </si>
  <si>
    <t>Conduto de ligação (BLD) - Rua Ernani e Lopes</t>
  </si>
  <si>
    <t>Conduto de ligação (BLD) - Rua Setúbal</t>
  </si>
  <si>
    <t>Conduto de ligação (BLD) - Rua Aveiro</t>
  </si>
  <si>
    <t>Conduto de ligação (BLD) - Rua Bahia</t>
  </si>
  <si>
    <t>Conduto de ligação (BLD) - Av. Manuel Eleoterio De Campos</t>
  </si>
  <si>
    <t>Conduto de ligação (BLD) - Rua Ana Candida de Oliveira</t>
  </si>
  <si>
    <t>Conduto de ligação (BLD) - Rua Porto</t>
  </si>
  <si>
    <t>Conduto de ligação (BLD) - Rua Caldas da Rainha</t>
  </si>
  <si>
    <t>Conduto de ligação (BLD) - Rua Viseu</t>
  </si>
  <si>
    <t>Conduto de ligação (BLD) - Rua Travessa da Praça</t>
  </si>
  <si>
    <t>Conduto de ligação (BLD) - Rua S/ Nome</t>
  </si>
  <si>
    <t>Boca de Lobo (BLD) - Rua Ernani e Lopes</t>
  </si>
  <si>
    <t>2 unid.</t>
  </si>
  <si>
    <t>BLD</t>
  </si>
  <si>
    <t>Boca de Lobo (BLD) - Rua Setúbal</t>
  </si>
  <si>
    <t>4 unid.</t>
  </si>
  <si>
    <t>Boca de Lobo (BLD) - Rua Aveiro</t>
  </si>
  <si>
    <t>Boca de Lobo (BLD) - Rua Bahia</t>
  </si>
  <si>
    <t>Boca de Lobo (BLD) - Av. Manuel Eleoterio De Campos</t>
  </si>
  <si>
    <t>Boca de Lobo (BLD) - Rua Ana Candida de Oliveira</t>
  </si>
  <si>
    <t>Boca de Lobo (BLD) - Rua Porto</t>
  </si>
  <si>
    <t>8 unid.</t>
  </si>
  <si>
    <t>Boca de Lobo (BLD) - Rua Caldas da Rainha</t>
  </si>
  <si>
    <t>Boca de Lobo (BLD) - Rua Viseu</t>
  </si>
  <si>
    <t>6 unid.</t>
  </si>
  <si>
    <t>Boca de Lobo (BLD) - Rua Travessa da Praça</t>
  </si>
  <si>
    <t>Boca de Lobo (BLD) - Rua S/ Nome</t>
  </si>
  <si>
    <t>Caixa de Ligação e Passagem - CLP02</t>
  </si>
  <si>
    <t>Poço de Visita - PVI02</t>
  </si>
  <si>
    <t>Poço de Visita - PVI03</t>
  </si>
  <si>
    <t>Poço de Visita - PVI08</t>
  </si>
  <si>
    <t>Poço de Visita - PVI14</t>
  </si>
  <si>
    <t>Chaminé dos Poços de Visita - CPV01</t>
  </si>
  <si>
    <t>Dissipadores de Energia Aplicáveis à Saída de Bueiros - DEB04</t>
  </si>
  <si>
    <t>Dissipadores de Energia Aplicáveis a Descidas D'Água - DEB01</t>
  </si>
  <si>
    <t>Entrada para Descidas D'água EDA01</t>
  </si>
  <si>
    <t>Boca BSTC Ø 0,80 (Lançamento Rua Bahia e Rua S/ Nome)</t>
  </si>
  <si>
    <t>Boca BDTC Ø 1,00 (Rua Figueira da Foz)</t>
  </si>
  <si>
    <t>Linha de Bueiro BDTC Ø 1,00 (Rua Figueira da Foz)</t>
  </si>
  <si>
    <t>Demolição de Concreto Simples - Rua Figueira do Fox (Boca)</t>
  </si>
  <si>
    <t>Remoção de Tubos de Concreto D=600mm (Rua Figueira da Foz)</t>
  </si>
  <si>
    <t>Escavação de Vala Mat. 1ª Cat. (Rua Figueira da Foz) - Bueiro</t>
  </si>
  <si>
    <t>Reaterro e Compactação (Rua Figueira da Foz) - Bueiro</t>
  </si>
  <si>
    <t>Remoção de Material Inservível (Rua Figueira da Foz) - Bueiro</t>
  </si>
  <si>
    <t>Pedra Rachão (Rua Figueira da Foz) - Bueiro</t>
  </si>
  <si>
    <t>TUBO 600MM (RAMAL - BLD)</t>
  </si>
  <si>
    <t>TUBO 600MM (TUBULAÇÃO PRINCIPAL)</t>
  </si>
  <si>
    <t>TUBO 800MM (TUBULAÇÃO PRINCIPAL)</t>
  </si>
  <si>
    <t>BOCA DE LOBO DUPLA (UNIDADES)</t>
  </si>
  <si>
    <t>NOTA  DE  SERVIÇO DE SINALIZAÇÃO VERTICAL (BAIRRO MARIA ISABEL)</t>
  </si>
  <si>
    <t>Rua Ernani e Lopes (Estaca 0+6,54) - LE</t>
  </si>
  <si>
    <t>Esquina com a rua Setúbal (posicionar a 5 metros do bordo da pista transversal)</t>
  </si>
  <si>
    <t>Esquina com a rua Setúbal  (posicionar a 2 metros do bordo da pista transversal)</t>
  </si>
  <si>
    <t>Rua Ernani e Lopes (Estaca 8+6,67) - LD</t>
  </si>
  <si>
    <t>Esquina com a rua America do Sul (posicionar a 5 metros do bordo da pista transversal)</t>
  </si>
  <si>
    <t>Esquina com a rua America do Sul  (posicionar a 2 metros do bordo da pista transversal)</t>
  </si>
  <si>
    <t>Rua Aveiro (Estaca 0+6,81) - LE</t>
  </si>
  <si>
    <t>Rua Aveiro (Estaca 7+1,61) - LD</t>
  </si>
  <si>
    <t>Rua Setúbal (Estaca 0+5,95) - LE</t>
  </si>
  <si>
    <t>Esquina com a Av. Manuel H. Pereira (posicionar a 5 metros do bordo da pista transversal)</t>
  </si>
  <si>
    <t>Esquina com a Av. Manuel H. Pereira (posicionar a 2 metros do bordo da pista transversal)</t>
  </si>
  <si>
    <t>Rua Porto Alegre (Estaca 0+1,52) - LE</t>
  </si>
  <si>
    <t>Rua Porto Alegre (Estaca 4+9,85) - LD</t>
  </si>
  <si>
    <t>Esquina com a Av. Manuel Eleoterio De Campos (posicionar a 5 metros do bordo da pista transversal)</t>
  </si>
  <si>
    <t>Esquina com a Av. Manuel Eleoterio De Campos (posicionar a 2 metros do bordo da pista transversal)</t>
  </si>
  <si>
    <t>Av. Manoel Eleoterio de Campos (Estaca 0+15,22) - LE</t>
  </si>
  <si>
    <t>Av. Manoel Eleoterio de Campos (Estaca 31+12,90) - LD</t>
  </si>
  <si>
    <t>Esquina com a rua Figueira do Foz (posicionar a 5 metros do bordo da pista transversal)</t>
  </si>
  <si>
    <t>Esquina com a rua Figueira do Foz (posicionar a 2 metros do bordo da pista transversal)</t>
  </si>
  <si>
    <t>Rua Porto (Estaca 0+5,73) - LE</t>
  </si>
  <si>
    <t>Rua Porto (Estaca 27+8,00) - LD</t>
  </si>
  <si>
    <t>Rua Bahia (Estaca 0+6,64) - LE</t>
  </si>
  <si>
    <t>Rua Bahia (Estaca 22+16,02) - LD</t>
  </si>
  <si>
    <t>Rua Ana Candida de Oliveira - (Est. 0+6,47) LE</t>
  </si>
  <si>
    <t>Esquina com a Av. Manuel Eleoterio de Campos (posicionar a 5 metros do bordo da pista transversal)</t>
  </si>
  <si>
    <t>Esquina com a Av. Manuel Eleoterio de Campos (posicionar a 2 metros do bordo da pista transversal)</t>
  </si>
  <si>
    <t>Rua Ana Candida de Oliveira - (Est. 3+7,45) LD</t>
  </si>
  <si>
    <t>Esquina com a rua Porto (posicionar a 5 metros do bordo da pista transversal)</t>
  </si>
  <si>
    <t>Esquina com a rua Porto (posicionar a 2 metros do bordo da pista transversal)</t>
  </si>
  <si>
    <t>Rua Ana Candida de Oliveira - (Est. 4+1,07) LE</t>
  </si>
  <si>
    <t>Rua Ana Candida de Oliveira - (Est. 7+1,09) LD</t>
  </si>
  <si>
    <t>Esquina com a rua Bahia (posicionar a 5 metros do bordo da pista transversal)</t>
  </si>
  <si>
    <t>Esquina com a rua Bahia (posicionar a 2 metros do bordo da pista transversal)</t>
  </si>
  <si>
    <t>Rua Ana Candida de Oliveira - (Est. 7+15,00) LE</t>
  </si>
  <si>
    <t>Rua Caldas da Rainha - (Est. 0+1,13) - LE</t>
  </si>
  <si>
    <t>Esquina com a Rodovia Mario Andreaza (posicionar a 5 metros do bordo da pista transversal)</t>
  </si>
  <si>
    <t>Esquina com a Rodovia Mario Andreaza (posicionar a 2 metros do bordo da pista transversal)</t>
  </si>
  <si>
    <t>Rua Caldas da Rainha - (Est. 5+9,53) - LD</t>
  </si>
  <si>
    <t>Rua Caldas da Rainha - (Est. 6+4,31) - LE</t>
  </si>
  <si>
    <t>Rua Caldas da Rainha - (Est. 9+3,78) - LD</t>
  </si>
  <si>
    <t>Rua Caldas da Rainha - (Est. 9+17,61) - LE</t>
  </si>
  <si>
    <t>Rua Caldas da Rainha - (Est. 12+14,17) - LD</t>
  </si>
  <si>
    <t>Rua Figueira do Foz - (Est. 0+6,15) - LE</t>
  </si>
  <si>
    <t xml:space="preserve">Rua Guarda - (Est. 0+6,91) - LE </t>
  </si>
  <si>
    <t xml:space="preserve">Rua Guarda - (Est. 9+15,69) - LD </t>
  </si>
  <si>
    <t>Esquina com a rua S/ Nome (posicionar a 5 metros do bordo da pista transversal)</t>
  </si>
  <si>
    <t>Esquina com a rua S/ Nome (posicionar a 2 metros do bordo da pista transversal)</t>
  </si>
  <si>
    <t>Rua Covilha - (Est. 0+1,81) - LE</t>
  </si>
  <si>
    <t>Rua Covilha - (Est. 13+5,46) - LD</t>
  </si>
  <si>
    <t>Esquina com a rua Viseu (posicionar a 5 metros do bordo da pista transversal)</t>
  </si>
  <si>
    <t>Esquina com a rua Viseu (posicionar a 2 metros do bordo da pista transversal)</t>
  </si>
  <si>
    <t>Rua Santarém - (Est. 0+1,44) - LE</t>
  </si>
  <si>
    <t>Rua Santarém - (Est. 13+4,85) - LD</t>
  </si>
  <si>
    <t>Travessa da Praça - (Est. 0+6,47) - LE</t>
  </si>
  <si>
    <t>Esquina com a rua Travessa da Praça (posicionar a 5 metros do bordo da pista paralela)</t>
  </si>
  <si>
    <t>Esquina com a Travessa da Praça  (posicionar a 2 metros do bordo da pista paralela)</t>
  </si>
  <si>
    <t>Travessa da Praça - (Est. 5+3,04) - LD</t>
  </si>
  <si>
    <t>Rua S/ Nome - (Est. 0+7,42) - LE</t>
  </si>
  <si>
    <t>Esquina com a rua Covilha (posicionar a 5 metros do bordo da pista paralela)</t>
  </si>
  <si>
    <t>Esquina com a rua da Covilhaa  (posicionar a 2 metros do bordo da pista paralela)</t>
  </si>
  <si>
    <t>Rua Viseu - (Est. 0+0,00) menos 4,00m - LE</t>
  </si>
  <si>
    <t>Esquina com a rua Setubal (posicionar a 5 metros do bordo da pista transversal)</t>
  </si>
  <si>
    <t>Esquina com a rua Setubal  (posicionar a 2 metros do bordo da pista transversal)</t>
  </si>
  <si>
    <t>NOTA DE SERVIÇO DE SINALIZAÇÃO HORIZONTAL (BAIRRO MARIA ISABEL)</t>
  </si>
  <si>
    <t>Linha de Retenção / Legenda no Pavimento</t>
  </si>
  <si>
    <t>Linha de Retenção - 1 unidade (0+8,07)</t>
  </si>
  <si>
    <t>Linha de Retenção - 1 unidade (Est.8+5,00)</t>
  </si>
  <si>
    <t>Linha de Retenção - 1 unidade (0+6,32)</t>
  </si>
  <si>
    <t>Linha de Retenção - 1 unidade (Est.7+0,71)</t>
  </si>
  <si>
    <t>Rua Setúbal</t>
  </si>
  <si>
    <t>Linha de Retenção - 1 unidade (0+4,14)</t>
  </si>
  <si>
    <t>Linha de Retenção - 1 unidade ( Est.0+3,06)</t>
  </si>
  <si>
    <t>Linha de Retenção - 1 unidade ( Est.4+10,63)</t>
  </si>
  <si>
    <t>Linha de Retenção - 1 unidade (Est. 0+5,53)</t>
  </si>
  <si>
    <t>Linha de Retenção - 1 unidade ( Est.31+15,06)</t>
  </si>
  <si>
    <t>Linha de Retenção - 1 unidade ( Est.0+5,00)</t>
  </si>
  <si>
    <t>Linha de Retenção - 1 unidade ( Est.27+10,49)</t>
  </si>
  <si>
    <t>Linha de Retenção - 1 unidade ( Est.0+5,81)</t>
  </si>
  <si>
    <t>Linha de Retenção - 1 unidade ( Est.22+18,00)</t>
  </si>
  <si>
    <t>Legenda (PARE) - 5 unidade</t>
  </si>
  <si>
    <t>Linha de Retenção - 1 unidade ( Est.0+6,69)</t>
  </si>
  <si>
    <t>Linha de Retenção - 1 unidade ( Est.3+7,67)</t>
  </si>
  <si>
    <t>Linha de Retenção - 1 unidade ( Est.4+0,90)</t>
  </si>
  <si>
    <t>Linha de Retenção - 1 unidade ( Est.7+0,88)</t>
  </si>
  <si>
    <t>Linha de Retenção - 1 unidade ( Est.7+13,00)</t>
  </si>
  <si>
    <t>Legenda (PARE) - 6 unidade</t>
  </si>
  <si>
    <t>Linha de Retenção - 1 unidade ( Est.0+0,00)</t>
  </si>
  <si>
    <t>Linha de Retenção - 1 unidade ( Est.5+9,83)</t>
  </si>
  <si>
    <t>Linha de Retenção - 1 unidade ( Est.6+3,53)</t>
  </si>
  <si>
    <t>Linha de Retenção - 1 unidade ( Est.9+3,70)</t>
  </si>
  <si>
    <t>Linha de Retenção - 1 unidade ( Est.9+17,12)</t>
  </si>
  <si>
    <t>Linha de Retenção - 1 unidade ( Est.12+14,84)</t>
  </si>
  <si>
    <t>Linha de Retenção - 1 unidade ( Est.0+4,50)</t>
  </si>
  <si>
    <t>Linha de Retenção - 1 unidade ( Est.0+5,46)</t>
  </si>
  <si>
    <t>Linha de Retenção - 1 unidade ( Est.16+73,00)</t>
  </si>
  <si>
    <t>Linha de Retenção - 1 unidade ( Est.13+7,89)</t>
  </si>
  <si>
    <t>Linha de Retenção - 1 unidade ( Est.13+7,54)</t>
  </si>
  <si>
    <t>Linha de Retenção - 1 unidade ( Est.0+3,55)</t>
  </si>
  <si>
    <t>Linha de Retenção - 1 unidade ( Est.5+5,91)</t>
  </si>
  <si>
    <t>Linha de Retenção - 1 unidade ( Est.0+5,70)</t>
  </si>
  <si>
    <t>Legenda (PARE) -  unidade</t>
  </si>
  <si>
    <t>Linha de Retenção - 1 unidade ( Est.0+0,00)+5,70m</t>
  </si>
  <si>
    <t>RESUMO DA SINALIZAÇÃO HORIZONTAL</t>
  </si>
  <si>
    <t>FAIXA BRANCA CONTÍNUA DE BORDO (LBO)</t>
  </si>
  <si>
    <t>FAIXA AMARELA CONTÍNUA SIMPLES (LFO-1)</t>
  </si>
  <si>
    <t>FAIXA AMARELA SECCIONADA LFO-2 / (2x4)</t>
  </si>
  <si>
    <t>FAIXA BRANCA RETENÇÃO (LRE)</t>
  </si>
  <si>
    <t>LEGENDAS (PARE)</t>
  </si>
  <si>
    <t>11.5</t>
  </si>
  <si>
    <t>11.6</t>
  </si>
  <si>
    <t>11.7</t>
  </si>
  <si>
    <t>11.8</t>
  </si>
  <si>
    <t>11.9</t>
  </si>
  <si>
    <t>11.10</t>
  </si>
  <si>
    <t>Caixa de ligação e passagem - CLP 02 - areia e brita comerciais</t>
  </si>
  <si>
    <t>Poço de visita - PVI 02 - areia e brita comerciais</t>
  </si>
  <si>
    <t>Poço de visita - PVI 03 - areia e brita comerciais</t>
  </si>
  <si>
    <t>Poço de visita - PVI 08 - areia e brita comerciais</t>
  </si>
  <si>
    <t>Poço de visita - PVI 14 - areia e brita comerciais</t>
  </si>
  <si>
    <t>Chaminé dos poços de visita - CPV 01 - areia e brita comerciais</t>
  </si>
  <si>
    <t>Dissipador de energia - DEB 04 - areia, brita e pedra de mão comerciais</t>
  </si>
  <si>
    <t>Dissipador de energia - DEB 01 - areia, brita e pedra de mão comerciais</t>
  </si>
  <si>
    <t>Entrada para descida d'água - EDA 01 - areia e brita comerciais</t>
  </si>
  <si>
    <t>Boca de BSTC D = 0,80 m - esconsidade 0° - areia e brita comerciais - alas esconsas</t>
  </si>
  <si>
    <t>0804417</t>
  </si>
  <si>
    <t>Boca de BDTC D = 1,00 m - esconsidade 0° - areia e brita comerciais - alas esconsas</t>
  </si>
  <si>
    <t>Demolição de concreto simples com martelete</t>
  </si>
  <si>
    <t>Remoção de tubos de concreto com diâmetro de 0,40 m a 1,00 m em valas e bueiros</t>
  </si>
  <si>
    <t>9.2</t>
  </si>
  <si>
    <t>10.2</t>
  </si>
  <si>
    <t>Tubo de concreto armado para aguas pluviais, classe PA-1, com encaixe ponta e bolsa, diametro nominal de 1000 mm</t>
  </si>
  <si>
    <t>Assentamento de tubo de concreto para redes coletoras de águas pluviai s, diâmetro de 1000 mm, junta rígida, instalado em local com alto nível</t>
  </si>
  <si>
    <t>Remoção manual de camada granular do pavimento (mat. Inservível)</t>
  </si>
  <si>
    <t>9.3</t>
  </si>
  <si>
    <t>Tubo de concreto armado para aguas pluviais, classe PA-1, com encaixe ponta e bolsa, diametro nominal de 600 mm</t>
  </si>
  <si>
    <t>Tubo de concreto armado para aguas pluviais, classe PA-1, com encaixe ponta e bolsa, diametro nominal de 800 mm</t>
  </si>
  <si>
    <t>10.3</t>
  </si>
  <si>
    <t>Assentamento de tubo de concreto para redes coletoras de águas pluviai s, diâmetro de 600 mm, junta rígida, instalado em local com alto nível</t>
  </si>
  <si>
    <t>BLD - Boca de lobo dupla, c/abertura pela guia 1,00m - conforme projeto tipo</t>
  </si>
  <si>
    <t>11.11</t>
  </si>
  <si>
    <t>11.12</t>
  </si>
  <si>
    <t>11.13</t>
  </si>
  <si>
    <t>11.14</t>
  </si>
  <si>
    <t>11.15</t>
  </si>
  <si>
    <t>11.16</t>
  </si>
  <si>
    <t>Composição</t>
  </si>
  <si>
    <t>Comp. 11.16</t>
  </si>
  <si>
    <t>8.12</t>
  </si>
  <si>
    <t>Administração Local</t>
  </si>
  <si>
    <t>Comp. 2.1</t>
  </si>
  <si>
    <t>Comp. 3.1</t>
  </si>
  <si>
    <t>Comp. 3.2</t>
  </si>
  <si>
    <t>Comp. 3.3</t>
  </si>
  <si>
    <t>Comp. 3.4</t>
  </si>
  <si>
    <t>Comp. 4.1</t>
  </si>
  <si>
    <t>Escavação, carga e transporte de material de 1ª categoria - DMT de 400 a 600 m - caminho de serviço em revestimento primário - com escavadeira e caminhão basculante de 14 m³</t>
  </si>
  <si>
    <t>Comp. 4.2</t>
  </si>
  <si>
    <t>Comp. 4.7</t>
  </si>
  <si>
    <t>M980</t>
  </si>
  <si>
    <t>Comp. 5.1</t>
  </si>
  <si>
    <t>Comp. 5.3</t>
  </si>
  <si>
    <t>Comp. 5.4</t>
  </si>
  <si>
    <t>Comp. 5.5</t>
  </si>
  <si>
    <t>Comp. 5.6</t>
  </si>
  <si>
    <t>Comp. 5.7</t>
  </si>
  <si>
    <t>Construção de pavimento com aplicação de concreto betuminoso usinado a quente (cbuq), camada de rolamento, com espessura de 3,0 cm  exclusive transporte. af_03/2017</t>
  </si>
  <si>
    <t>Comp. 5.11</t>
  </si>
  <si>
    <t>Comp. 6.1</t>
  </si>
  <si>
    <t>Comp. 7.3</t>
  </si>
  <si>
    <t>Comp. 8.2</t>
  </si>
  <si>
    <t>Comp. 8.3</t>
  </si>
  <si>
    <t>Comp. 8.5</t>
  </si>
  <si>
    <t>Comp. 8.11</t>
  </si>
  <si>
    <t>Comp. 8.10</t>
  </si>
  <si>
    <t>Comp. 8.9</t>
  </si>
  <si>
    <t>8.13</t>
  </si>
  <si>
    <t>Comp. 8.6</t>
  </si>
  <si>
    <t>Regularização e compactação manual de terreno (fundo de vala)</t>
  </si>
  <si>
    <t xml:space="preserve"> 07/2021</t>
  </si>
  <si>
    <t>Comp. 1.1</t>
  </si>
  <si>
    <t>Comp. 1.3</t>
  </si>
  <si>
    <t>ÍNDICE DE REAJUSTAMENTO DE PAVIMENTAÇÃO DA FUNDAÇÃO GETÚLIO VARGAS</t>
  </si>
  <si>
    <t xml:space="preserve">R =   (Ii - Io)/Io </t>
  </si>
  <si>
    <t>Onde:</t>
  </si>
  <si>
    <t>Io = Índice de preço do mês de origem das equações tarifárias</t>
  </si>
  <si>
    <t>Ii = Índice de preço  referente ao mês do orçamento do projeto</t>
  </si>
  <si>
    <t>Índice</t>
  </si>
  <si>
    <t>Índice Atualizado</t>
  </si>
  <si>
    <t>Pavimentação</t>
  </si>
  <si>
    <t>Fator de Correção total</t>
  </si>
  <si>
    <t>Io (Junho/2019)</t>
  </si>
  <si>
    <t>Valor do serviço</t>
  </si>
  <si>
    <t>74022/006 ENSAIO DE GRANULOMETRIA POR PENEIRAMENTO - SOLOS UN CR 121,06</t>
  </si>
  <si>
    <t>74022/008 ENSAIO DE LIMITE DE LIQUIDEZ - SOLOS UN CR 75,67</t>
  </si>
  <si>
    <t>74022/009 ENSAIO DE LIMITE DE PLASTICIDADE - SOLOS UN CR 68,09</t>
  </si>
  <si>
    <t>74022/010 ENSAIO DE COMPACTACAO - AMOSTRAS NAO TRABALHADAS - ENERGIA NORMAL - SOLOS UN CR 143,76</t>
  </si>
  <si>
    <t>74022/015 ENSAIO DE MASSA ESPECIFICA - IN SITU - METODO BALAO DE BORRACHA - SOLOS UN CR 60,52</t>
  </si>
  <si>
    <t>74022/019 ENSAIO DE INDICE DE SUPORTE CALIFORNIA - AMOSTRAS NAO TRABALHADAS - ENERGIA NORMAL - SOLOS UN CR 174,03</t>
  </si>
  <si>
    <t>74022/023 ENSAIO DE TEOR DE UMIDADE - PROCESSO SPEEDY - SOLOS E AGREGADOS MIUDOS UN CR 45,39</t>
  </si>
  <si>
    <t>74022/042 ENSAIO DE EQUIVALENTE EM AREIA - SOLOS UN CR 68,09</t>
  </si>
  <si>
    <t>Ensaio de Sub-base estabilizada granulometricamente</t>
  </si>
  <si>
    <t>Carga e descarga mecânica de solo utilizando caminhão basculante 6m³/16t e pa carregadeira sobre pneus * 128 hp * cap. até 2,8m3</t>
  </si>
  <si>
    <t>Comp. 5.8</t>
  </si>
  <si>
    <t>00007725</t>
  </si>
  <si>
    <t>00007750</t>
  </si>
  <si>
    <t>00007753</t>
  </si>
  <si>
    <t>FORNECIMENTO DE TUBOS TIPO PA-1</t>
  </si>
  <si>
    <t>CUSTO UNITÁRIO DE REFERÊNCIA</t>
  </si>
  <si>
    <t>Obra: Bairro Maria Isabel</t>
  </si>
  <si>
    <t>Serviço:</t>
  </si>
  <si>
    <t>Código:</t>
  </si>
  <si>
    <t>COMP. 1.1</t>
  </si>
  <si>
    <t>Prod. Equipe:</t>
  </si>
  <si>
    <t>Unid:</t>
  </si>
  <si>
    <t>M2</t>
  </si>
  <si>
    <t>Códigos</t>
  </si>
  <si>
    <t>Preço Unit. 
(R$)</t>
  </si>
  <si>
    <t>Custo Unit.
(R$)</t>
  </si>
  <si>
    <t>94962</t>
  </si>
  <si>
    <t>CONCRETO MAGRO PARA LASTRO, TRAÇO 1:4,5:4,5 (CIMENTO/</t>
  </si>
  <si>
    <t>M3</t>
  </si>
  <si>
    <t>88262</t>
  </si>
  <si>
    <t>CARPINTEIRO DE FORMAS COM ENCARGOS COMPLEMENTARES</t>
  </si>
  <si>
    <t>H</t>
  </si>
  <si>
    <t>88316</t>
  </si>
  <si>
    <t>SERVENTE COM ENCARGOS COMPLEMENTARES</t>
  </si>
  <si>
    <t>04417</t>
  </si>
  <si>
    <t>SARRAFO DE MADEIRA NAO APARELHADA *2,5 X 7* CM, MACARANDUBA, ANGELIM OU EQUIVALENTE DA REGIAO</t>
  </si>
  <si>
    <t>M</t>
  </si>
  <si>
    <t>04491</t>
  </si>
  <si>
    <t>PONTALETE DE MADEIRA NAO APARELHADA *7,5 X 7,5* CM (3 X 3 ) PINUS, MISTA OU EQUIVALENTE DA REGIAO</t>
  </si>
  <si>
    <t>04813</t>
  </si>
  <si>
    <t>PLACA DE OBRA (PARA CONSTRUCAO CIVIL) EM CHAPA GALVANIZADA *N. 22*, ADESIVADA, DE *2,0 X 1,125* M</t>
  </si>
  <si>
    <t>PREGO DE ACO POLIDO COM CABECA 18 X 30 (2 3/4 X 10)</t>
  </si>
  <si>
    <t>KG</t>
  </si>
  <si>
    <t>CUSTO TOTAL DAS ATIVIDADES =</t>
  </si>
  <si>
    <t>CUSTO UNITÁRIO DIRETO TOTAL =</t>
  </si>
  <si>
    <t>BONIFICAÇÃO E DESPESAS INDIRETAS (</t>
  </si>
  <si>
    <t>% ) =</t>
  </si>
  <si>
    <t>PREÇO UNITÁRIO TOTAL (R$) =</t>
  </si>
  <si>
    <t>UN</t>
  </si>
  <si>
    <t>COMP. 1.3</t>
  </si>
  <si>
    <t>LOCACAO DE CONTAINER 2,30  X 6,00 M, ALT. 2,50 M, PARA ESCRITORIO, SEM DIVISORIAS INTERNAS E SEM SANITARIO</t>
  </si>
  <si>
    <t>M²</t>
  </si>
  <si>
    <t>P9824</t>
  </si>
  <si>
    <t>SERVENTE</t>
  </si>
  <si>
    <t>COMP. 2.1</t>
  </si>
  <si>
    <t>UND</t>
  </si>
  <si>
    <t>APONTADOR OU APROPRIADOR COM ENCARGOS COMPLEMENTARES</t>
  </si>
  <si>
    <t>ENGENHEIRO CIVIL DE OBRA JUNIOR COM ENCARGOS</t>
  </si>
  <si>
    <t>93572</t>
  </si>
  <si>
    <t>ENCARREGADO GERAL DE OBRAS COM ENCARGOS COMPLEMENTARES</t>
  </si>
  <si>
    <t>TOPOGRAFO COM ENCARGOS COMPLEMENTARES</t>
  </si>
  <si>
    <t>AUXILIAR DE LABORATORISTA DE SOLOS E DE CONCRETO COM</t>
  </si>
  <si>
    <t>101389</t>
  </si>
  <si>
    <t>AUXILIAR DE TOPÓGRAFO COM ENCARGOS COMPLEMENTARES</t>
  </si>
  <si>
    <t>101456</t>
  </si>
  <si>
    <t>TÉCNICO DE LABORATÓRIO E CAMPO DE CONSTRUÇÃO COM ENCARGOS</t>
  </si>
  <si>
    <t>ENSAIOS DE REGULARIZACAO DO SUBLEITO</t>
  </si>
  <si>
    <t>COMP. 3.1</t>
  </si>
  <si>
    <t>74022/006</t>
  </si>
  <si>
    <t>ENSAIO DE GRANULOMETRIA POR PENEIRAMENTO - SOLOS</t>
  </si>
  <si>
    <t>74022/008</t>
  </si>
  <si>
    <t>ENSAIO DE LIMITE DE LIQUIDEZ - SOLOS</t>
  </si>
  <si>
    <t>74022/009</t>
  </si>
  <si>
    <t>ENSAIO DE LIMITE DE PLASTICIDADE - SOLOS</t>
  </si>
  <si>
    <t>74022/010</t>
  </si>
  <si>
    <t>ENSAIO DE COMPACTACAO - AMOSTRAS NAO TRABALHADAS - ENERGIA NORMAL - SOLOS</t>
  </si>
  <si>
    <t>74022/015</t>
  </si>
  <si>
    <t>ENSAIO DE MASSA ESPECIFICA - IN SITU - METODO BALAO DE BORRACHA - SOLOS</t>
  </si>
  <si>
    <t>74022/019</t>
  </si>
  <si>
    <t xml:space="preserve"> ENSAIO DE INDICE DE SUPORTE CALIFORNIA - AMOSTRAS NAO TRABALHADAS - ENERGIA NORMAL - SOLOS</t>
  </si>
  <si>
    <t>74022/023</t>
  </si>
  <si>
    <t>ENSAIO DE TEOR DE UMIDADE - PROCESSO SPEEDY - SOLOS E AGREGADOS MIUDOS</t>
  </si>
  <si>
    <t>ENSAIOS DE SUB-BASE ESTABILIZADA GRANULOMETRICAMENTE</t>
  </si>
  <si>
    <t>COMP. 3.2</t>
  </si>
  <si>
    <t>74022/042</t>
  </si>
  <si>
    <t>ENSAIO DE EQUIVALENTE EM AREIA - SOLOS</t>
  </si>
  <si>
    <t>ENSAIOS DE BASE ESTABILIZADA GRANULOMETRICAMENTE</t>
  </si>
  <si>
    <t>COMP. 3.3</t>
  </si>
  <si>
    <t>ENSAIO DE RESISTENCIA A COMPRESSAO SIMPLES - CONCRETO</t>
  </si>
  <si>
    <t>COMP. 3.4</t>
  </si>
  <si>
    <t>AUXILIAR DE LABORATÓRIO COM ENCARGOS COMPLEMENTARES</t>
  </si>
  <si>
    <t>TÉCNICO DE LABORATÓRIO COM ENCARGOS COMPLEMENTARES</t>
  </si>
  <si>
    <t>LIMPEZA MECANIZADA DE TERRENO COM REMOCAO DE CAMADA VEGETAL, UTILIZANDO MOTONIVELADORA</t>
  </si>
  <si>
    <t>COMP. 4.1</t>
  </si>
  <si>
    <t>5932</t>
  </si>
  <si>
    <t>MOTONIVELADORA POTÊNCIA BÁSICA LÍQUIDA (PRIMEIRA MARCHA) 125</t>
  </si>
  <si>
    <t>CHP</t>
  </si>
  <si>
    <t>ESCAVACAO MECANICA DE MATERIAL 1A. CATEGORIA, PROVENIENTE DE CORTE DE SUBLEITO (C/TRATOR ESTEIRAS 160HP)</t>
  </si>
  <si>
    <t>COMP. 4.2</t>
  </si>
  <si>
    <t>5847</t>
  </si>
  <si>
    <t>TRATOR DE ESTEIRAS, POTÊNCIA 170 HP, PESO OPERACIONAL 19 T,</t>
  </si>
  <si>
    <t>M³</t>
  </si>
  <si>
    <t>91386</t>
  </si>
  <si>
    <t>CAMINHÃO BASCULANTE 10 M3, TRUCADO CABINE SIMPLES, PESO</t>
  </si>
  <si>
    <t>CHI</t>
  </si>
  <si>
    <t>ESPALHAMENTO DE MATERIAL EM BOTA FORA, COM UTILIZACAO DE TRATOR DE ESTEIRAS DE 165 HP</t>
  </si>
  <si>
    <t>COMP. 4.7</t>
  </si>
  <si>
    <t>REGULARIZACAO E COMPACTACAO DE SUBLEITO ATE 20 CM DE ESPESSURA</t>
  </si>
  <si>
    <t>COMP. 5.1</t>
  </si>
  <si>
    <t>5901</t>
  </si>
  <si>
    <t>CAMINHÃO PIPA 10.000 L TRUCADO, PESO BRUTO TOTAL</t>
  </si>
  <si>
    <t>5903</t>
  </si>
  <si>
    <t>5934</t>
  </si>
  <si>
    <t>ROLO COMPACTADOR PE DE CARNEIRO VIBRATORIO, POTENCIA</t>
  </si>
  <si>
    <t>TRATOR DE PNEUS COM POTÊNCIA DE 85 CV, TRAÇÃO 4X4, COM</t>
  </si>
  <si>
    <t>EXECUÇÃO E COMPACTAÇÃO DE SUB BASE COM SOLO ESTABILIZADO GRANULOMETRICAMENTE - EXCLUSIVE ESCAVAÇÃO, CARGA E TRANSPORTE E SOLO. AF_09/2017</t>
  </si>
  <si>
    <t>COMP. 5.3</t>
  </si>
  <si>
    <t>GRADE DE DISCO REBOCÁVEL COM 20 DISCOS 24  X 6 MM COM PNEUS</t>
  </si>
  <si>
    <t>5923</t>
  </si>
  <si>
    <t>73436</t>
  </si>
  <si>
    <t>ROLO COMPACTADOR VIBRATÓRIO PÉ DE CARNEIRO PARA SOLOS,</t>
  </si>
  <si>
    <t>89035</t>
  </si>
  <si>
    <t>TRATOR DE PNEUS, POTÊNCIA 85 CV, TRAÇÃO 4X4, PESO COM</t>
  </si>
  <si>
    <t>89036</t>
  </si>
  <si>
    <t>93244</t>
  </si>
  <si>
    <t>96463</t>
  </si>
  <si>
    <t>ROLO COMPACTADOR DE PNEUS, ESTATICO, PRESSAO VARIAVEL,</t>
  </si>
  <si>
    <t>96464</t>
  </si>
  <si>
    <t>EXECUÇÃO DE IMPRIMAÇÃO COM ASFALTO DILUÍDO CM-30</t>
  </si>
  <si>
    <t>COMP. 5.5</t>
  </si>
  <si>
    <t>5839</t>
  </si>
  <si>
    <t>VASSOURA MECÂNICA REBOCÁVEL COM ESCOVA CILÍNDRICA, LARGURA</t>
  </si>
  <si>
    <t>5841</t>
  </si>
  <si>
    <t>83362</t>
  </si>
  <si>
    <t>ESPARGIDOR DE ASFALTO PRESSURIZADO, TANQUE 6 M3 COM</t>
  </si>
  <si>
    <t>91486</t>
  </si>
  <si>
    <t>00041901</t>
  </si>
  <si>
    <t>ASFALTO DILUIDO DE PETROLEO CM-30 (COLETADO ANP ACRESCIDO DE ICMS)</t>
  </si>
  <si>
    <t>PINTURA DE LIGACAO COM EMULSAO RR-2C</t>
  </si>
  <si>
    <t>COMP. 5.6</t>
  </si>
  <si>
    <t>96013</t>
  </si>
  <si>
    <t>TRATOR DE PNEUS COM POTÊNCIA DE 122 CV, TRAÇÃO 4X4, COM</t>
  </si>
  <si>
    <t>96014</t>
  </si>
  <si>
    <t>00041903</t>
  </si>
  <si>
    <t>EMULSAO ASFALTICA CATIONICA RR-2C PARA USO EM PAVIMENTACAO ASFALTICA (COLETADO ANP ACRESCIDO DE ICMS)</t>
  </si>
  <si>
    <t>CONSTRUÇÃO DE PAVIMENTO COM APLICAÇÃO DE CONCRETO BETUMINOSO USINADO A QUENTE (CBUQ), CAMADA DE ROLAMENTO, COM ESPESSURA DE 3,0 CM - EXCLUSIVE TRANSPORTE</t>
  </si>
  <si>
    <t>COMP. 5.7</t>
  </si>
  <si>
    <t>VIBROACABADORA DE ASFALTO SOBRE ESTEIRAS, LARGURA DE</t>
  </si>
  <si>
    <t>5837</t>
  </si>
  <si>
    <t>88314</t>
  </si>
  <si>
    <t>RASTELEIRO COM ENCARGOS COMPLEMENTARES</t>
  </si>
  <si>
    <t>ROLO COMPACTADOR VIBRATORIO TANDEM, ACO LISO, POTENCIA 125</t>
  </si>
  <si>
    <t>95632</t>
  </si>
  <si>
    <t>96157</t>
  </si>
  <si>
    <t>CONCRETO BETUMINOSO USINADO A QUENTE (CBUQ) PARA PAVIMENTACAO ASFALTICA, PADRAO DNIT, FAIXA C, COM CAP 50/70 - AQUISICAO POSTO USINA</t>
  </si>
  <si>
    <t>T</t>
  </si>
  <si>
    <t>CARGA, MANOBRAS E DESCARGA DE MISTURA BETUMINOSA A QUENTE, COM CAMINHAO BASCULANTE 6 M3, DESCARGA EM VIBRO-ACABADORA</t>
  </si>
  <si>
    <t>COMP. 5.8</t>
  </si>
  <si>
    <t>5811</t>
  </si>
  <si>
    <t>CAMINHÃO BASCULANTE 6 M3, PESO BRUTO TOTAL 16.000 KG, CARGA</t>
  </si>
  <si>
    <t>TRANSPORTE COM CAMINHÃO BASCULANTE 10 M3 DE MASSA ASFALTICA PARA PAVIMENTAÇÃO URBANA</t>
  </si>
  <si>
    <t>COMP. 5.11</t>
  </si>
  <si>
    <t>SINALIZACAO HORIZONTAL COM TINTA RETRORREFLETIVA A BASE DE RESINA ACRILICA COM MICROESFERAS DE VIDRO</t>
  </si>
  <si>
    <t>COMP. 6.1</t>
  </si>
  <si>
    <t>CAMINHÃO TOCO, PBT 16.000 KG, CARGA ÚTIL MÁX. 10.685 KG,</t>
  </si>
  <si>
    <t>MÁQUINA DEMARCADORA DE FAIXA DE TRÁFEGO À FRIO,</t>
  </si>
  <si>
    <t>MICROESFERAS DE VIDRO PARA SINALIZACAO HORIZONTAL VIARIA, TIPO I-B (PREMIX) - NBR 16184</t>
  </si>
  <si>
    <t>05318</t>
  </si>
  <si>
    <t>SOLVENTE DILUENTE A BASE DE AGUARRAS</t>
  </si>
  <si>
    <t>L</t>
  </si>
  <si>
    <t>TINTA A BASE DE RESINA ACRILICA, PARA SINALIZACAO HORIZONTAL VIARIA (NBR 11862)</t>
  </si>
  <si>
    <t>TINTA ACRILICA PREMIUM PARA PISO</t>
  </si>
  <si>
    <t>88309</t>
  </si>
  <si>
    <t>PEDREIRO COM ENCARGOS COMPLEMENTARES</t>
  </si>
  <si>
    <t>PLACA ESMALTADA PARA IDENTIFICAÇÃO NR DE RUA, DIMENSÕES 45X25CM</t>
  </si>
  <si>
    <t>COMP. 7.3</t>
  </si>
  <si>
    <t>11950</t>
  </si>
  <si>
    <t>BUCHA DE NYLON SEM ABA S6, COM PARAFUSO DE 4,20 X 40 MM EM ACO ZINCADO COM ROSCA SOBERBA, CABECA CHATA E FENDA PHILLIPS</t>
  </si>
  <si>
    <t>13521</t>
  </si>
  <si>
    <t>PLACA DE ACO ESMALTADA PARA IDENTIFICACAO DE RUA, *45 CM X 20* CM</t>
  </si>
  <si>
    <t>ISOLAMENTO DE OBRA COM TELA PLASTICA COM MALHA DE 5MM E ESTRUTURA DE MADEIRA PONTALETEADA</t>
  </si>
  <si>
    <t>COMP. 8.2</t>
  </si>
  <si>
    <t>AJUDANTE DE CARPINTEIRO COM ENCARGOS COMPLEMENTARES</t>
  </si>
  <si>
    <t>04509</t>
  </si>
  <si>
    <t>TABUA DE MADEIRA NAO APARELHADA *2,5 X 10 CM (1 X 4 ) PINUS, MISTA OU EQUIVALENTE DA REGIAO</t>
  </si>
  <si>
    <t>05061</t>
  </si>
  <si>
    <t>PREGO DE ACO POLIDO COM CABECA 18 X 27 (2 1/2 X 10)</t>
  </si>
  <si>
    <t>07170</t>
  </si>
  <si>
    <t>TELA FACHADEIRA EM POLIETILENO, ROLO DE 3 X 100 M (L X C), COR BRANCA, SEM LOGOMARCA - PARA PROTECAO DE OBRAS</t>
  </si>
  <si>
    <t>PASSADICOS COM TABUAS DE MADEIRA PARA PEDESTRES</t>
  </si>
  <si>
    <t>COMP. 8.3</t>
  </si>
  <si>
    <t>VIGA DE MADEIRA NAO APARELHADA *6 X 16* CM, MACARANDUBA, ANGELIM OU EQUIVALENTE DA REGIAO</t>
  </si>
  <si>
    <t>TABUA DE MADEIRA NAO APARELHADA *2,5 X 30* CM, CEDRINHO OU EQUIVALENTE DA REGIAO</t>
  </si>
  <si>
    <t>Regularização e compactação manual de terreno (fundo de vala) - PREPARO DE FUNDO DE VALA COM LARGURA MENOR QUE 1,5 M, EM LOCAL COM NÍVEL BAIXO DE INTERFERÊNCIA</t>
  </si>
  <si>
    <t>COMP. 8.5</t>
  </si>
  <si>
    <t>91533</t>
  </si>
  <si>
    <t>COMPACTADOR DE SOLOS DE PERCUSSÃO (SOQUETE) COM MOTOR</t>
  </si>
  <si>
    <t>91534</t>
  </si>
  <si>
    <t>Fornecimento e aplicação de Lastro de Brita  (com preparo de fundo de valas) - LASTRO DE VALA COM PREPARO DE FUNDO, LARGURA MENOR QUE 1,5 M, COM CAMADA DE BRITA, LANÇAMENTO MANUAL, EM LOCAL COM NÍVEL BAIXO DE INTERFERÊNCIA</t>
  </si>
  <si>
    <t>COMP. 8.6</t>
  </si>
  <si>
    <t>04720</t>
  </si>
  <si>
    <t>PEDRA BRITADA N. 0, OU PEDRISCO (4,8 A 9,5 MM) POSTO PEDREIRA/FORNECEDOR, SEM FRETE</t>
  </si>
  <si>
    <t>CARGA E DESCARGA MECANICA DE SOLO UTILIZANDO CAMINHAO BASCULANTE 6,0M3/16T E PA CARREGADEIRA SOBRE PNEUS 128 HP, CAPACIDADE DA CAÇAMBA 1,7 A 2,8 M3, PESO OPERACIONAL 11632 KG</t>
  </si>
  <si>
    <t>COMP. 8.9</t>
  </si>
  <si>
    <t>5940</t>
  </si>
  <si>
    <t>PÁ CARREGADEIRA SOBRE RODAS, POTÊNCIA LÍQUIDA 128 HP,</t>
  </si>
  <si>
    <t>COMP. 8.10</t>
  </si>
  <si>
    <t>COMP. 8.11</t>
  </si>
  <si>
    <t>FÔRMAS DE TÁBUAS DE PINHO PARA DISPOSITIVOS DE DRENAGEM -</t>
  </si>
  <si>
    <t>ARMAÇÃO EM AÇO CA-50 - FORNECIMENTO, PREPARO E</t>
  </si>
  <si>
    <t>1109669</t>
  </si>
  <si>
    <t>ARGAMASSA DE CIMENTO E AREIA 1:3 - CONFECÇÃO EM BETONEIRA E</t>
  </si>
  <si>
    <t>ALVENARIA DE BLOCOS DE CONCRETO 19 X 19 X 39 CM COM</t>
  </si>
  <si>
    <t>BLD - Boca de lobo dupla, c/abertura pela guia 1,00m - conforme protjeto tipo</t>
  </si>
  <si>
    <t>COMP. 11.16</t>
  </si>
  <si>
    <t>CONCRETO FCK = 25 MPA - CONFECÇÃO EM BETONEIRA E</t>
  </si>
  <si>
    <t>Ii  (Junho/2021)</t>
  </si>
  <si>
    <t>COMP. 5.4</t>
  </si>
  <si>
    <t>EXECUÇÃO E COMPACTAÇÃO DE BASE COM SOLO ESTABILIZADO GRANULOMETRICAMENTE - EXCLUSIVE ESCAVAÇÃO, CARGA E TRANSPORTE E SOLO. AF_09/2017</t>
  </si>
  <si>
    <t>Data Base: Dezembro/2021 (sem desoneração) - SINAPI/MT</t>
  </si>
  <si>
    <t>DEZEMBRO/2021 SINAPI</t>
  </si>
  <si>
    <t>JULHO/2021 SICRO</t>
  </si>
  <si>
    <t>Data Base: Dezembro/2021 (sem desoneração) - SICRO/MT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</si>
</sst>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&quot;R$&quot;* #,##0.00_);_(&quot;R$&quot;* \(#,##0.00\);_(&quot;R$&quot;* &quot;-&quot;??_);_(@_)"/>
    <numFmt numFmtId="168" formatCode="mmmm\-yy"/>
    <numFmt numFmtId="169" formatCode="#,##0.000"/>
    <numFmt numFmtId="170" formatCode="0.000"/>
    <numFmt numFmtId="171" formatCode="_(* #,##0.000_);_(* \(#,##0.000\);_(* &quot;-&quot;??_);_(@_)"/>
    <numFmt numFmtId="172" formatCode="&quot;Cr$&quot;#,##0_);\(&quot;Cr$&quot;#,##0\)"/>
    <numFmt numFmtId="173" formatCode="0.0"/>
    <numFmt numFmtId="174" formatCode="_(* #,##0.0000_);_(* \(#,##0.0000\);_(* &quot;-&quot;??_);_(@_)"/>
    <numFmt numFmtId="175" formatCode="_-* #,##0.000_-;\-* #,##0.000_-;_-* &quot;-&quot;???_-;_-@_-"/>
    <numFmt numFmtId="176" formatCode="_(* #,##0.00_);_(* \(#,##0.00\);_(* \-??_);_(@_)"/>
    <numFmt numFmtId="177" formatCode="_([$€-2]* #,##0.00_);_([$€-2]* \(#,##0.00\);_([$€-2]* &quot;-&quot;??_)"/>
    <numFmt numFmtId="178" formatCode="0.0%"/>
    <numFmt numFmtId="179" formatCode="#,##0.000_);[Red]\(#,##0.000\)"/>
    <numFmt numFmtId="180" formatCode="[$-F800]dddd\,\ mmmm\ dd\,\ yyyy"/>
    <numFmt numFmtId="181" formatCode="#,##0.00\ &quot;m²&quot;"/>
    <numFmt numFmtId="182" formatCode="00\ &quot;unid.&quot;"/>
    <numFmt numFmtId="183" formatCode="000.00\ &quot;m³&quot;"/>
    <numFmt numFmtId="184" formatCode="000.000\ &quot;m³&quot;"/>
    <numFmt numFmtId="185" formatCode="#,##0\ &quot;unid.&quot;"/>
    <numFmt numFmtId="186" formatCode="#,##0.000\ &quot;m²&quot;"/>
    <numFmt numFmtId="187" formatCode="_(* #,##0.000_);_(* \(#,##0.000\);_(* \-??_);_(@_)"/>
    <numFmt numFmtId="188" formatCode="_(* #,##0.0000_);_(* \(#,##0.0000\);_(* \-????_);_(@_)"/>
    <numFmt numFmtId="189" formatCode="_(* #,##0.00000_);_(* \(#,##0.00000\);_(* \-??_);_(@_)"/>
    <numFmt numFmtId="190" formatCode="#,##0.00000"/>
  </numFmts>
  <fonts count="9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  <charset val="204"/>
    </font>
    <font>
      <b/>
      <sz val="8"/>
      <name val="Times New Roman"/>
      <family val="1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u/>
      <sz val="9"/>
      <color indexed="1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sz val="10"/>
      <name val="Times New Roman"/>
      <family val="1"/>
      <charset val="204"/>
    </font>
    <font>
      <b/>
      <sz val="10"/>
      <color indexed="22"/>
      <name val="Arial"/>
      <family val="2"/>
    </font>
    <font>
      <i/>
      <sz val="10"/>
      <color indexed="23"/>
      <name val="Arial"/>
      <family val="2"/>
    </font>
    <font>
      <b/>
      <sz val="15"/>
      <color indexed="32"/>
      <name val="Arial"/>
      <family val="2"/>
    </font>
    <font>
      <b/>
      <sz val="18"/>
      <color indexed="32"/>
      <name val="Cambria"/>
      <family val="1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2"/>
      <color indexed="8"/>
      <name val="Calibri"/>
      <family val="2"/>
    </font>
    <font>
      <b/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1"/>
    </font>
    <font>
      <sz val="9"/>
      <color rgb="FF333333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3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36"/>
        <b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3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092">
    <xf numFmtId="0" fontId="0" fillId="0" borderId="0"/>
    <xf numFmtId="0" fontId="29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1" fillId="2" borderId="0" applyNumberFormat="0" applyFont="0" applyFill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1" fillId="2" borderId="0" applyNumberFormat="0" applyFont="0" applyFill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Font="0" applyFill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Font="0" applyFill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1" fillId="4" borderId="0" applyNumberFormat="0" applyFont="0" applyFill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1" fillId="4" borderId="0" applyNumberFormat="0" applyFont="0" applyFill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1" fillId="2" borderId="0" applyNumberFormat="0" applyFont="0" applyFill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1" fillId="2" borderId="0" applyNumberFormat="0" applyFont="0" applyFill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4" borderId="0" applyNumberFormat="0" applyFont="0" applyFill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1" fillId="4" borderId="0" applyNumberFormat="0" applyFont="0" applyFill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1" fillId="3" borderId="0" applyNumberFormat="0" applyFont="0" applyFill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1" fillId="3" borderId="0" applyNumberFormat="0" applyFont="0" applyFill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1" fillId="2" borderId="0" applyNumberFormat="0" applyFont="0" applyFill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1" fillId="2" borderId="0" applyNumberFormat="0" applyFont="0" applyFill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Font="0" applyFill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Font="0" applyFill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Font="0" applyFill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Font="0" applyFill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1" fillId="2" borderId="0" applyNumberFormat="0" applyFont="0" applyFill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1" fillId="2" borderId="0" applyNumberFormat="0" applyFont="0" applyFill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1" fillId="2" borderId="0" applyNumberFormat="0" applyFont="0" applyFill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1" fillId="2" borderId="0" applyNumberFormat="0" applyFont="0" applyFill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1" fillId="15" borderId="0" applyNumberFormat="0" applyFont="0" applyFill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1" fillId="15" borderId="0" applyNumberFormat="0" applyFont="0" applyFill="0" applyProtection="0"/>
    <xf numFmtId="0" fontId="4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2" fillId="16" borderId="0" applyNumberFormat="0" applyFont="0" applyFill="0" applyProtection="0"/>
    <xf numFmtId="0" fontId="32" fillId="16" borderId="0" applyNumberFormat="0" applyFont="0" applyFill="0" applyProtection="0"/>
    <xf numFmtId="0" fontId="5" fillId="6" borderId="0" applyNumberFormat="0" applyBorder="0" applyAlignment="0" applyProtection="0"/>
    <xf numFmtId="0" fontId="32" fillId="16" borderId="0" applyNumberFormat="0" applyFont="0" applyFill="0" applyProtection="0"/>
    <xf numFmtId="0" fontId="5" fillId="16" borderId="0" applyNumberFormat="0" applyBorder="0" applyAlignment="0" applyProtection="0"/>
    <xf numFmtId="0" fontId="32" fillId="16" borderId="0" applyNumberFormat="0" applyFont="0" applyFill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2" fillId="9" borderId="0" applyNumberFormat="0" applyFont="0" applyFill="0" applyProtection="0"/>
    <xf numFmtId="0" fontId="32" fillId="9" borderId="0" applyNumberFormat="0" applyFont="0" applyFill="0" applyProtection="0"/>
    <xf numFmtId="0" fontId="5" fillId="20" borderId="0" applyNumberFormat="0" applyBorder="0" applyAlignment="0" applyProtection="0"/>
    <xf numFmtId="0" fontId="32" fillId="9" borderId="0" applyNumberFormat="0" applyFont="0" applyFill="0" applyProtection="0"/>
    <xf numFmtId="0" fontId="5" fillId="9" borderId="0" applyNumberFormat="0" applyBorder="0" applyAlignment="0" applyProtection="0"/>
    <xf numFmtId="0" fontId="32" fillId="9" borderId="0" applyNumberFormat="0" applyFont="0" applyFill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2" fillId="14" borderId="0" applyNumberFormat="0" applyFont="0" applyFill="0" applyProtection="0"/>
    <xf numFmtId="0" fontId="32" fillId="14" borderId="0" applyNumberFormat="0" applyFont="0" applyFill="0" applyProtection="0"/>
    <xf numFmtId="0" fontId="5" fillId="12" borderId="0" applyNumberFormat="0" applyBorder="0" applyAlignment="0" applyProtection="0"/>
    <xf numFmtId="0" fontId="32" fillId="14" borderId="0" applyNumberFormat="0" applyFont="0" applyFill="0" applyProtection="0"/>
    <xf numFmtId="0" fontId="5" fillId="11" borderId="0" applyNumberFormat="0" applyBorder="0" applyAlignment="0" applyProtection="0"/>
    <xf numFmtId="0" fontId="32" fillId="14" borderId="0" applyNumberFormat="0" applyFont="0" applyFill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2" fillId="21" borderId="0" applyNumberFormat="0" applyFont="0" applyFill="0" applyProtection="0"/>
    <xf numFmtId="0" fontId="32" fillId="21" borderId="0" applyNumberFormat="0" applyFont="0" applyFill="0" applyProtection="0"/>
    <xf numFmtId="0" fontId="5" fillId="3" borderId="0" applyNumberFormat="0" applyBorder="0" applyAlignment="0" applyProtection="0"/>
    <xf numFmtId="0" fontId="32" fillId="21" borderId="0" applyNumberFormat="0" applyFont="0" applyFill="0" applyProtection="0"/>
    <xf numFmtId="0" fontId="5" fillId="17" borderId="0" applyNumberFormat="0" applyBorder="0" applyAlignment="0" applyProtection="0"/>
    <xf numFmtId="0" fontId="32" fillId="21" borderId="0" applyNumberFormat="0" applyFont="0" applyFill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2" fillId="18" borderId="0" applyNumberFormat="0" applyFont="0" applyFill="0" applyProtection="0"/>
    <xf numFmtId="0" fontId="32" fillId="18" borderId="0" applyNumberFormat="0" applyFont="0" applyFill="0" applyProtection="0"/>
    <xf numFmtId="0" fontId="5" fillId="6" borderId="0" applyNumberFormat="0" applyBorder="0" applyAlignment="0" applyProtection="0"/>
    <xf numFmtId="0" fontId="32" fillId="18" borderId="0" applyNumberFormat="0" applyFont="0" applyFill="0" applyProtection="0"/>
    <xf numFmtId="0" fontId="5" fillId="18" borderId="0" applyNumberFormat="0" applyBorder="0" applyAlignment="0" applyProtection="0"/>
    <xf numFmtId="0" fontId="32" fillId="18" borderId="0" applyNumberFormat="0" applyFont="0" applyFill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2" fillId="15" borderId="0" applyNumberFormat="0" applyFont="0" applyFill="0" applyProtection="0"/>
    <xf numFmtId="0" fontId="32" fillId="15" borderId="0" applyNumberFormat="0" applyFont="0" applyFill="0" applyProtection="0"/>
    <xf numFmtId="0" fontId="5" fillId="9" borderId="0" applyNumberFormat="0" applyBorder="0" applyAlignment="0" applyProtection="0"/>
    <xf numFmtId="0" fontId="32" fillId="15" borderId="0" applyNumberFormat="0" applyFont="0" applyFill="0" applyProtection="0"/>
    <xf numFmtId="0" fontId="5" fillId="19" borderId="0" applyNumberFormat="0" applyBorder="0" applyAlignment="0" applyProtection="0"/>
    <xf numFmtId="0" fontId="32" fillId="15" borderId="0" applyNumberFormat="0" applyFont="0" applyFill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12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3" fillId="4" borderId="0" applyNumberFormat="0" applyFont="0" applyFill="0" applyProtection="0"/>
    <xf numFmtId="0" fontId="33" fillId="4" borderId="0" applyNumberFormat="0" applyFont="0" applyFill="0" applyProtection="0"/>
    <xf numFmtId="0" fontId="6" fillId="6" borderId="0" applyNumberFormat="0" applyBorder="0" applyAlignment="0" applyProtection="0"/>
    <xf numFmtId="0" fontId="33" fillId="4" borderId="0" applyNumberFormat="0" applyFont="0" applyFill="0" applyProtection="0"/>
    <xf numFmtId="0" fontId="6" fillId="4" borderId="0" applyNumberFormat="0" applyBorder="0" applyAlignment="0" applyProtection="0"/>
    <xf numFmtId="0" fontId="33" fillId="4" borderId="0" applyNumberFormat="0" applyFont="0" applyFill="0" applyProtection="0"/>
    <xf numFmtId="0" fontId="21" fillId="25" borderId="1" applyNumberFormat="0" applyAlignment="0" applyProtection="0"/>
    <xf numFmtId="0" fontId="21" fillId="25" borderId="1" applyNumberFormat="0" applyAlignment="0" applyProtection="0"/>
    <xf numFmtId="0" fontId="21" fillId="25" borderId="1" applyNumberFormat="0" applyAlignment="0" applyProtection="0"/>
    <xf numFmtId="0" fontId="34" fillId="27" borderId="1" applyNumberFormat="0" applyFont="0" applyProtection="0"/>
    <xf numFmtId="0" fontId="21" fillId="25" borderId="1" applyNumberFormat="0" applyAlignment="0" applyProtection="0"/>
    <xf numFmtId="0" fontId="7" fillId="26" borderId="1" applyNumberFormat="0" applyAlignment="0" applyProtection="0"/>
    <xf numFmtId="0" fontId="34" fillId="27" borderId="1" applyNumberFormat="0" applyFont="0" applyProtection="0"/>
    <xf numFmtId="0" fontId="21" fillId="25" borderId="1" applyNumberFormat="0" applyAlignment="0" applyProtection="0"/>
    <xf numFmtId="0" fontId="34" fillId="27" borderId="1" applyNumberFormat="0" applyFont="0" applyProtection="0"/>
    <xf numFmtId="0" fontId="1" fillId="0" borderId="0"/>
    <xf numFmtId="0" fontId="8" fillId="28" borderId="2" applyNumberFormat="0" applyAlignment="0" applyProtection="0"/>
    <xf numFmtId="0" fontId="8" fillId="28" borderId="2" applyNumberFormat="0" applyAlignment="0" applyProtection="0"/>
    <xf numFmtId="0" fontId="35" fillId="28" borderId="3" applyNumberFormat="0" applyFont="0" applyProtection="0"/>
    <xf numFmtId="0" fontId="8" fillId="28" borderId="2" applyNumberFormat="0" applyAlignment="0" applyProtection="0"/>
    <xf numFmtId="0" fontId="8" fillId="28" borderId="2" applyNumberFormat="0" applyAlignment="0" applyProtection="0"/>
    <xf numFmtId="0" fontId="35" fillId="28" borderId="3" applyNumberFormat="0" applyFont="0" applyProtection="0"/>
    <xf numFmtId="0" fontId="8" fillId="28" borderId="2" applyNumberFormat="0" applyAlignment="0" applyProtection="0"/>
    <xf numFmtId="0" fontId="35" fillId="28" borderId="3" applyNumberFormat="0" applyFo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36" fillId="0" borderId="6" applyNumberFormat="0" applyFont="0" applyAlignment="0" applyProtection="0"/>
    <xf numFmtId="0" fontId="22" fillId="0" borderId="5" applyNumberFormat="0" applyFill="0" applyAlignment="0" applyProtection="0"/>
    <xf numFmtId="0" fontId="9" fillId="0" borderId="4" applyNumberFormat="0" applyFill="0" applyAlignment="0" applyProtection="0"/>
    <xf numFmtId="0" fontId="36" fillId="0" borderId="6" applyNumberFormat="0" applyFont="0" applyAlignment="0" applyProtection="0"/>
    <xf numFmtId="0" fontId="22" fillId="0" borderId="5" applyNumberFormat="0" applyFill="0" applyAlignment="0" applyProtection="0"/>
    <xf numFmtId="0" fontId="36" fillId="0" borderId="6" applyNumberFormat="0" applyFont="0" applyAlignment="0" applyProtection="0"/>
    <xf numFmtId="0" fontId="8" fillId="28" borderId="2" applyNumberFormat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32" fillId="22" borderId="0" applyNumberFormat="0" applyFont="0" applyFill="0" applyProtection="0"/>
    <xf numFmtId="0" fontId="32" fillId="22" borderId="0" applyNumberFormat="0" applyFont="0" applyFill="0" applyProtection="0"/>
    <xf numFmtId="0" fontId="5" fillId="29" borderId="0" applyNumberFormat="0" applyBorder="0" applyAlignment="0" applyProtection="0"/>
    <xf numFmtId="0" fontId="32" fillId="22" borderId="0" applyNumberFormat="0" applyFont="0" applyFill="0" applyProtection="0"/>
    <xf numFmtId="0" fontId="5" fillId="22" borderId="0" applyNumberFormat="0" applyBorder="0" applyAlignment="0" applyProtection="0"/>
    <xf numFmtId="0" fontId="32" fillId="22" borderId="0" applyNumberFormat="0" applyFont="0" applyFill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2" fillId="30" borderId="0" applyNumberFormat="0" applyFont="0" applyFill="0" applyProtection="0"/>
    <xf numFmtId="0" fontId="32" fillId="30" borderId="0" applyNumberFormat="0" applyFont="0" applyFill="0" applyProtection="0"/>
    <xf numFmtId="0" fontId="5" fillId="20" borderId="0" applyNumberFormat="0" applyBorder="0" applyAlignment="0" applyProtection="0"/>
    <xf numFmtId="0" fontId="32" fillId="30" borderId="0" applyNumberFormat="0" applyFont="0" applyFill="0" applyProtection="0"/>
    <xf numFmtId="0" fontId="5" fillId="23" borderId="0" applyNumberFormat="0" applyBorder="0" applyAlignment="0" applyProtection="0"/>
    <xf numFmtId="0" fontId="32" fillId="30" borderId="0" applyNumberFormat="0" applyFont="0" applyFill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32" fillId="31" borderId="0" applyNumberFormat="0" applyFont="0" applyFill="0" applyProtection="0"/>
    <xf numFmtId="0" fontId="32" fillId="31" borderId="0" applyNumberFormat="0" applyFont="0" applyFill="0" applyProtection="0"/>
    <xf numFmtId="0" fontId="5" fillId="12" borderId="0" applyNumberFormat="0" applyBorder="0" applyAlignment="0" applyProtection="0"/>
    <xf numFmtId="0" fontId="32" fillId="31" borderId="0" applyNumberFormat="0" applyFont="0" applyFill="0" applyProtection="0"/>
    <xf numFmtId="0" fontId="5" fillId="24" borderId="0" applyNumberFormat="0" applyBorder="0" applyAlignment="0" applyProtection="0"/>
    <xf numFmtId="0" fontId="32" fillId="31" borderId="0" applyNumberFormat="0" applyFont="0" applyFill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2" fillId="21" borderId="0" applyNumberFormat="0" applyFont="0" applyFill="0" applyProtection="0"/>
    <xf numFmtId="0" fontId="32" fillId="21" borderId="0" applyNumberFormat="0" applyFont="0" applyFill="0" applyProtection="0"/>
    <xf numFmtId="0" fontId="5" fillId="32" borderId="0" applyNumberFormat="0" applyBorder="0" applyAlignment="0" applyProtection="0"/>
    <xf numFmtId="0" fontId="32" fillId="21" borderId="0" applyNumberFormat="0" applyFont="0" applyFill="0" applyProtection="0"/>
    <xf numFmtId="0" fontId="5" fillId="17" borderId="0" applyNumberFormat="0" applyBorder="0" applyAlignment="0" applyProtection="0"/>
    <xf numFmtId="0" fontId="32" fillId="21" borderId="0" applyNumberFormat="0" applyFont="0" applyFill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2" fillId="18" borderId="0" applyNumberFormat="0" applyFont="0" applyFill="0" applyProtection="0"/>
    <xf numFmtId="0" fontId="32" fillId="18" borderId="0" applyNumberFormat="0" applyFont="0" applyFill="0" applyProtection="0"/>
    <xf numFmtId="0" fontId="5" fillId="18" borderId="0" applyNumberFormat="0" applyBorder="0" applyAlignment="0" applyProtection="0"/>
    <xf numFmtId="0" fontId="32" fillId="18" borderId="0" applyNumberFormat="0" applyFont="0" applyFill="0" applyProtection="0"/>
    <xf numFmtId="0" fontId="5" fillId="18" borderId="0" applyNumberFormat="0" applyBorder="0" applyAlignment="0" applyProtection="0"/>
    <xf numFmtId="0" fontId="32" fillId="18" borderId="0" applyNumberFormat="0" applyFont="0" applyFill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2" fillId="23" borderId="0" applyNumberFormat="0" applyFont="0" applyFill="0" applyProtection="0"/>
    <xf numFmtId="0" fontId="32" fillId="23" borderId="0" applyNumberFormat="0" applyFont="0" applyFill="0" applyProtection="0"/>
    <xf numFmtId="0" fontId="5" fillId="23" borderId="0" applyNumberFormat="0" applyBorder="0" applyAlignment="0" applyProtection="0"/>
    <xf numFmtId="0" fontId="32" fillId="23" borderId="0" applyNumberFormat="0" applyFont="0" applyFill="0" applyProtection="0"/>
    <xf numFmtId="0" fontId="5" fillId="20" borderId="0" applyNumberFormat="0" applyBorder="0" applyAlignment="0" applyProtection="0"/>
    <xf numFmtId="0" fontId="32" fillId="23" borderId="0" applyNumberFormat="0" applyFont="0" applyFill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37" fillId="3" borderId="1" applyNumberFormat="0" applyFont="0" applyProtection="0"/>
    <xf numFmtId="0" fontId="10" fillId="7" borderId="1" applyNumberFormat="0" applyAlignment="0" applyProtection="0"/>
    <xf numFmtId="0" fontId="10" fillId="13" borderId="1" applyNumberFormat="0" applyAlignment="0" applyProtection="0"/>
    <xf numFmtId="0" fontId="37" fillId="3" borderId="1" applyNumberFormat="0" applyFont="0" applyProtection="0"/>
    <xf numFmtId="0" fontId="10" fillId="7" borderId="1" applyNumberFormat="0" applyAlignment="0" applyProtection="0"/>
    <xf numFmtId="0" fontId="37" fillId="3" borderId="1" applyNumberFormat="0" applyFont="0" applyProtection="0"/>
    <xf numFmtId="0" fontId="29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176" fontId="48" fillId="0" borderId="0" applyBorder="0" applyProtection="0"/>
    <xf numFmtId="0" fontId="1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3" borderId="0" applyNumberFormat="0" applyFont="0" applyFill="0" applyProtection="0"/>
    <xf numFmtId="0" fontId="39" fillId="3" borderId="0" applyNumberFormat="0" applyFont="0" applyFill="0" applyProtection="0"/>
    <xf numFmtId="0" fontId="12" fillId="5" borderId="0" applyNumberFormat="0" applyBorder="0" applyAlignment="0" applyProtection="0"/>
    <xf numFmtId="0" fontId="39" fillId="3" borderId="0" applyNumberFormat="0" applyFont="0" applyFill="0" applyProtection="0"/>
    <xf numFmtId="0" fontId="12" fillId="3" borderId="0" applyNumberFormat="0" applyBorder="0" applyAlignment="0" applyProtection="0"/>
    <xf numFmtId="0" fontId="39" fillId="3" borderId="0" applyNumberFormat="0" applyFont="0" applyFill="0" applyProtection="0"/>
    <xf numFmtId="0" fontId="10" fillId="7" borderId="1" applyNumberFormat="0" applyAlignment="0" applyProtection="0"/>
    <xf numFmtId="0" fontId="22" fillId="0" borderId="5" applyNumberFormat="0" applyFill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40" fillId="10" borderId="0" applyNumberFormat="0" applyFont="0" applyFill="0" applyProtection="0"/>
    <xf numFmtId="0" fontId="40" fillId="10" borderId="0" applyNumberFormat="0" applyFont="0" applyFill="0" applyProtection="0"/>
    <xf numFmtId="0" fontId="13" fillId="13" borderId="0" applyNumberFormat="0" applyBorder="0" applyAlignment="0" applyProtection="0"/>
    <xf numFmtId="0" fontId="40" fillId="10" borderId="0" applyNumberFormat="0" applyFont="0" applyFill="0" applyProtection="0"/>
    <xf numFmtId="0" fontId="24" fillId="13" borderId="0" applyNumberFormat="0" applyBorder="0" applyAlignment="0" applyProtection="0"/>
    <xf numFmtId="0" fontId="40" fillId="10" borderId="0" applyNumberFormat="0" applyFont="0" applyFill="0" applyProtection="0"/>
    <xf numFmtId="0" fontId="24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1" fillId="0" borderId="0" applyNumberFormat="0" applyFill="0" applyBorder="0" applyProtection="0">
      <alignment vertical="top" wrapText="1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23" fillId="10" borderId="10" applyNumberFormat="0" applyFont="0" applyAlignment="0" applyProtection="0"/>
    <xf numFmtId="0" fontId="4" fillId="10" borderId="10" applyNumberFormat="0" applyFont="0" applyAlignment="0" applyProtection="0"/>
    <xf numFmtId="0" fontId="1" fillId="10" borderId="10" applyNumberFormat="0" applyFont="0" applyBorder="0" applyProtection="0"/>
    <xf numFmtId="0" fontId="23" fillId="10" borderId="10" applyNumberFormat="0" applyFont="0" applyAlignment="0" applyProtection="0"/>
    <xf numFmtId="0" fontId="23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1" fillId="10" borderId="10" applyNumberFormat="0" applyFont="0" applyBorder="0" applyProtection="0"/>
    <xf numFmtId="0" fontId="23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4" fillId="10" borderId="10" applyNumberFormat="0" applyFont="0" applyAlignment="0" applyProtection="0"/>
    <xf numFmtId="0" fontId="1" fillId="10" borderId="10" applyNumberFormat="0" applyFont="0" applyAlignment="0" applyProtection="0"/>
    <xf numFmtId="0" fontId="14" fillId="25" borderId="11" applyNumberFormat="0" applyAlignment="0" applyProtection="0"/>
    <xf numFmtId="0" fontId="30" fillId="0" borderId="12" applyNumberFormat="0" applyFont="0" applyBorder="0" applyAlignme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25" borderId="11" applyNumberFormat="0" applyAlignment="0" applyProtection="0"/>
    <xf numFmtId="0" fontId="14" fillId="25" borderId="11" applyNumberFormat="0" applyAlignment="0" applyProtection="0"/>
    <xf numFmtId="0" fontId="42" fillId="27" borderId="13" applyNumberFormat="0" applyFont="0" applyProtection="0"/>
    <xf numFmtId="0" fontId="14" fillId="25" borderId="11" applyNumberFormat="0" applyAlignment="0" applyProtection="0"/>
    <xf numFmtId="0" fontId="14" fillId="26" borderId="11" applyNumberFormat="0" applyAlignment="0" applyProtection="0"/>
    <xf numFmtId="0" fontId="42" fillId="27" borderId="13" applyNumberFormat="0" applyFont="0" applyProtection="0"/>
    <xf numFmtId="0" fontId="14" fillId="25" borderId="11" applyNumberFormat="0" applyAlignment="0" applyProtection="0"/>
    <xf numFmtId="0" fontId="42" fillId="27" borderId="13" applyNumberFormat="0" applyFo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ont="0" applyFill="0" applyAlignment="0" applyProtection="0"/>
    <xf numFmtId="0" fontId="31" fillId="0" borderId="0" applyNumberFormat="0" applyFont="0" applyFill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ont="0" applyFill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ont="0" applyFill="0" applyAlignment="0" applyProtection="0"/>
    <xf numFmtId="0" fontId="43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ont="0" applyFill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44" fillId="0" borderId="15" applyNumberFormat="0" applyFont="0" applyAlignment="0" applyProtection="0"/>
    <xf numFmtId="0" fontId="26" fillId="0" borderId="7" applyNumberFormat="0" applyFill="0" applyAlignment="0" applyProtection="0"/>
    <xf numFmtId="0" fontId="17" fillId="0" borderId="14" applyNumberFormat="0" applyFill="0" applyAlignment="0" applyProtection="0"/>
    <xf numFmtId="0" fontId="44" fillId="0" borderId="15" applyNumberFormat="0" applyFont="0" applyAlignment="0" applyProtection="0"/>
    <xf numFmtId="0" fontId="26" fillId="0" borderId="7" applyNumberFormat="0" applyFill="0" applyAlignment="0" applyProtection="0"/>
    <xf numFmtId="0" fontId="44" fillId="0" borderId="15" applyNumberFormat="0" applyFont="0" applyAlignment="0" applyProtection="0"/>
    <xf numFmtId="0" fontId="45" fillId="0" borderId="0" applyNumberFormat="0" applyFon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46" fillId="0" borderId="8" applyNumberFormat="0" applyFont="0" applyAlignment="0" applyProtection="0"/>
    <xf numFmtId="0" fontId="27" fillId="0" borderId="8" applyNumberFormat="0" applyFill="0" applyAlignment="0" applyProtection="0"/>
    <xf numFmtId="0" fontId="18" fillId="0" borderId="16" applyNumberFormat="0" applyFill="0" applyAlignment="0" applyProtection="0"/>
    <xf numFmtId="0" fontId="46" fillId="0" borderId="8" applyNumberFormat="0" applyFont="0" applyAlignment="0" applyProtection="0"/>
    <xf numFmtId="0" fontId="27" fillId="0" borderId="8" applyNumberFormat="0" applyFill="0" applyAlignment="0" applyProtection="0"/>
    <xf numFmtId="0" fontId="46" fillId="0" borderId="8" applyNumberFormat="0" applyFon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47" fillId="0" borderId="15" applyNumberFormat="0" applyFont="0" applyAlignment="0" applyProtection="0"/>
    <xf numFmtId="0" fontId="28" fillId="0" borderId="9" applyNumberFormat="0" applyFill="0" applyAlignment="0" applyProtection="0"/>
    <xf numFmtId="0" fontId="19" fillId="0" borderId="17" applyNumberFormat="0" applyFill="0" applyAlignment="0" applyProtection="0"/>
    <xf numFmtId="0" fontId="47" fillId="0" borderId="15" applyNumberFormat="0" applyFont="0" applyAlignment="0" applyProtection="0"/>
    <xf numFmtId="0" fontId="28" fillId="0" borderId="9" applyNumberFormat="0" applyFill="0" applyAlignment="0" applyProtection="0"/>
    <xf numFmtId="0" fontId="47" fillId="0" borderId="15" applyNumberFormat="0" applyFon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ont="0" applyFill="0" applyAlignment="0" applyProtection="0"/>
    <xf numFmtId="0" fontId="47" fillId="0" borderId="0" applyNumberFormat="0" applyFont="0" applyFill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ont="0" applyFill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on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ont="0" applyFill="0" applyAlignment="0" applyProtection="0"/>
    <xf numFmtId="0" fontId="25" fillId="0" borderId="0" applyNumberFormat="0" applyFill="0" applyBorder="0" applyAlignment="0" applyProtection="0"/>
    <xf numFmtId="0" fontId="45" fillId="0" borderId="0" applyNumberFormat="0" applyFon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" fillId="0" borderId="20" applyNumberFormat="0" applyFont="0" applyAlignment="0" applyProtection="0"/>
    <xf numFmtId="0" fontId="20" fillId="0" borderId="19" applyNumberFormat="0" applyFill="0" applyAlignment="0" applyProtection="0"/>
    <xf numFmtId="0" fontId="20" fillId="0" borderId="18" applyNumberFormat="0" applyFill="0" applyAlignment="0" applyProtection="0"/>
    <xf numFmtId="0" fontId="2" fillId="0" borderId="20" applyNumberFormat="0" applyFont="0" applyAlignment="0" applyProtection="0"/>
    <xf numFmtId="0" fontId="20" fillId="0" borderId="19" applyNumberFormat="0" applyFill="0" applyAlignment="0" applyProtection="0"/>
    <xf numFmtId="0" fontId="2" fillId="0" borderId="20" applyNumberFormat="0" applyFont="0" applyAlignment="0" applyProtection="0"/>
    <xf numFmtId="0" fontId="20" fillId="0" borderId="19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90" fillId="0" borderId="0" applyFont="0" applyFill="0" applyBorder="0" applyAlignment="0" applyProtection="0"/>
  </cellStyleXfs>
  <cellXfs count="1112">
    <xf numFmtId="0" fontId="0" fillId="0" borderId="0" xfId="0"/>
    <xf numFmtId="0" fontId="57" fillId="0" borderId="90" xfId="0" applyFont="1" applyBorder="1" applyAlignment="1">
      <alignment horizontal="center"/>
    </xf>
    <xf numFmtId="4" fontId="57" fillId="0" borderId="91" xfId="0" applyNumberFormat="1" applyFont="1" applyBorder="1" applyAlignment="1">
      <alignment horizontal="center"/>
    </xf>
    <xf numFmtId="4" fontId="58" fillId="0" borderId="91" xfId="0" applyNumberFormat="1" applyFont="1" applyBorder="1" applyAlignment="1">
      <alignment horizontal="center"/>
    </xf>
    <xf numFmtId="0" fontId="58" fillId="0" borderId="91" xfId="0" applyFont="1" applyBorder="1" applyAlignment="1">
      <alignment horizontal="center"/>
    </xf>
    <xf numFmtId="0" fontId="59" fillId="0" borderId="92" xfId="0" applyFont="1" applyBorder="1" applyAlignment="1">
      <alignment horizontal="center"/>
    </xf>
    <xf numFmtId="0" fontId="58" fillId="0" borderId="90" xfId="0" applyFont="1" applyBorder="1" applyAlignment="1">
      <alignment horizontal="center"/>
    </xf>
    <xf numFmtId="165" fontId="58" fillId="0" borderId="91" xfId="0" applyNumberFormat="1" applyFont="1" applyBorder="1" applyAlignment="1">
      <alignment horizontal="center"/>
    </xf>
    <xf numFmtId="4" fontId="58" fillId="0" borderId="91" xfId="0" applyNumberFormat="1" applyFont="1" applyBorder="1" applyAlignment="1">
      <alignment horizontal="right"/>
    </xf>
    <xf numFmtId="4" fontId="58" fillId="0" borderId="91" xfId="0" applyNumberFormat="1" applyFont="1" applyBorder="1" applyAlignment="1"/>
    <xf numFmtId="0" fontId="58" fillId="0" borderId="91" xfId="0" applyFont="1" applyBorder="1" applyAlignment="1"/>
    <xf numFmtId="0" fontId="58" fillId="0" borderId="92" xfId="0" applyFont="1" applyBorder="1" applyAlignment="1"/>
    <xf numFmtId="0" fontId="58" fillId="36" borderId="0" xfId="0" applyFont="1" applyFill="1" applyBorder="1" applyAlignment="1"/>
    <xf numFmtId="0" fontId="57" fillId="0" borderId="93" xfId="0" applyFont="1" applyBorder="1" applyAlignment="1">
      <alignment horizontal="center"/>
    </xf>
    <xf numFmtId="4" fontId="57" fillId="0" borderId="94" xfId="0" applyNumberFormat="1" applyFont="1" applyBorder="1" applyAlignment="1">
      <alignment horizontal="center"/>
    </xf>
    <xf numFmtId="4" fontId="58" fillId="0" borderId="94" xfId="0" applyNumberFormat="1" applyFont="1" applyBorder="1" applyAlignment="1">
      <alignment horizontal="center"/>
    </xf>
    <xf numFmtId="0" fontId="58" fillId="0" borderId="94" xfId="0" applyFont="1" applyBorder="1" applyAlignment="1">
      <alignment horizontal="center"/>
    </xf>
    <xf numFmtId="0" fontId="59" fillId="0" borderId="95" xfId="0" applyFont="1" applyBorder="1" applyAlignment="1">
      <alignment horizontal="center"/>
    </xf>
    <xf numFmtId="0" fontId="60" fillId="0" borderId="96" xfId="0" applyFont="1" applyBorder="1" applyAlignment="1">
      <alignment horizontal="center"/>
    </xf>
    <xf numFmtId="0" fontId="60" fillId="0" borderId="97" xfId="0" applyFont="1" applyBorder="1" applyAlignment="1"/>
    <xf numFmtId="0" fontId="60" fillId="0" borderId="98" xfId="0" applyFont="1" applyBorder="1" applyAlignment="1">
      <alignment horizontal="center"/>
    </xf>
    <xf numFmtId="0" fontId="60" fillId="0" borderId="99" xfId="0" applyFont="1" applyBorder="1" applyAlignment="1">
      <alignment horizontal="center"/>
    </xf>
    <xf numFmtId="4" fontId="58" fillId="37" borderId="91" xfId="0" applyNumberFormat="1" applyFont="1" applyFill="1" applyBorder="1" applyAlignment="1">
      <alignment horizontal="center"/>
    </xf>
    <xf numFmtId="0" fontId="61" fillId="36" borderId="0" xfId="0" applyFont="1" applyFill="1" applyBorder="1" applyAlignment="1"/>
    <xf numFmtId="0" fontId="61" fillId="36" borderId="29" xfId="0" applyFont="1" applyFill="1" applyBorder="1" applyAlignment="1"/>
    <xf numFmtId="4" fontId="61" fillId="36" borderId="0" xfId="0" applyNumberFormat="1" applyFont="1" applyFill="1" applyBorder="1" applyAlignment="1"/>
    <xf numFmtId="0" fontId="62" fillId="36" borderId="29" xfId="0" applyFont="1" applyFill="1" applyBorder="1" applyAlignment="1"/>
    <xf numFmtId="40" fontId="61" fillId="36" borderId="0" xfId="0" applyNumberFormat="1" applyFont="1" applyFill="1" applyBorder="1" applyAlignment="1"/>
    <xf numFmtId="40" fontId="61" fillId="36" borderId="30" xfId="0" applyNumberFormat="1" applyFont="1" applyFill="1" applyBorder="1" applyAlignment="1"/>
    <xf numFmtId="0" fontId="61" fillId="36" borderId="30" xfId="0" applyFont="1" applyFill="1" applyBorder="1" applyAlignment="1"/>
    <xf numFmtId="0" fontId="61" fillId="36" borderId="31" xfId="0" applyFont="1" applyFill="1" applyBorder="1" applyAlignment="1"/>
    <xf numFmtId="0" fontId="58" fillId="36" borderId="32" xfId="0" applyFont="1" applyFill="1" applyBorder="1" applyAlignment="1"/>
    <xf numFmtId="0" fontId="61" fillId="36" borderId="32" xfId="0" applyFont="1" applyFill="1" applyBorder="1" applyAlignment="1"/>
    <xf numFmtId="0" fontId="61" fillId="36" borderId="33" xfId="0" applyFont="1" applyFill="1" applyBorder="1" applyAlignment="1"/>
    <xf numFmtId="0" fontId="63" fillId="36" borderId="0" xfId="0" applyFont="1" applyFill="1" applyBorder="1" applyAlignment="1">
      <alignment vertical="center" wrapText="1"/>
    </xf>
    <xf numFmtId="0" fontId="51" fillId="38" borderId="34" xfId="0" applyFont="1" applyFill="1" applyBorder="1" applyAlignment="1">
      <alignment horizontal="center" vertical="center" wrapText="1"/>
    </xf>
    <xf numFmtId="0" fontId="51" fillId="38" borderId="24" xfId="0" applyFont="1" applyFill="1" applyBorder="1" applyAlignment="1">
      <alignment horizontal="center" vertical="center" wrapText="1"/>
    </xf>
    <xf numFmtId="0" fontId="51" fillId="38" borderId="35" xfId="0" applyFont="1" applyFill="1" applyBorder="1" applyAlignment="1">
      <alignment horizontal="center" vertical="center" wrapText="1"/>
    </xf>
    <xf numFmtId="0" fontId="64" fillId="36" borderId="36" xfId="0" applyFont="1" applyFill="1" applyBorder="1" applyAlignment="1">
      <alignment horizontal="center" vertical="center" wrapText="1"/>
    </xf>
    <xf numFmtId="0" fontId="64" fillId="36" borderId="37" xfId="0" applyFont="1" applyFill="1" applyBorder="1" applyAlignment="1">
      <alignment horizontal="center" vertical="center" wrapText="1"/>
    </xf>
    <xf numFmtId="0" fontId="64" fillId="36" borderId="37" xfId="0" applyFont="1" applyFill="1" applyBorder="1" applyAlignment="1">
      <alignment horizontal="left" vertical="center" wrapText="1"/>
    </xf>
    <xf numFmtId="0" fontId="65" fillId="36" borderId="37" xfId="0" applyFont="1" applyFill="1" applyBorder="1" applyAlignment="1">
      <alignment horizontal="center" vertical="center" wrapText="1"/>
    </xf>
    <xf numFmtId="0" fontId="65" fillId="36" borderId="38" xfId="0" applyFont="1" applyFill="1" applyBorder="1" applyAlignment="1">
      <alignment horizontal="center" vertical="center" wrapText="1"/>
    </xf>
    <xf numFmtId="0" fontId="0" fillId="39" borderId="0" xfId="0" applyFill="1"/>
    <xf numFmtId="0" fontId="58" fillId="0" borderId="0" xfId="0" applyFont="1"/>
    <xf numFmtId="0" fontId="58" fillId="36" borderId="39" xfId="0" applyFont="1" applyFill="1" applyBorder="1" applyAlignment="1"/>
    <xf numFmtId="0" fontId="58" fillId="36" borderId="40" xfId="0" applyFont="1" applyFill="1" applyBorder="1" applyAlignment="1"/>
    <xf numFmtId="0" fontId="58" fillId="36" borderId="41" xfId="0" applyFont="1" applyFill="1" applyBorder="1" applyAlignment="1"/>
    <xf numFmtId="0" fontId="58" fillId="36" borderId="90" xfId="0" applyFont="1" applyFill="1" applyBorder="1" applyAlignment="1">
      <alignment horizontal="center"/>
    </xf>
    <xf numFmtId="1" fontId="58" fillId="36" borderId="100" xfId="0" applyNumberFormat="1" applyFont="1" applyFill="1" applyBorder="1" applyAlignment="1">
      <alignment horizontal="left"/>
    </xf>
    <xf numFmtId="0" fontId="58" fillId="36" borderId="101" xfId="0" applyFont="1" applyFill="1" applyBorder="1"/>
    <xf numFmtId="0" fontId="58" fillId="36" borderId="102" xfId="0" applyFont="1" applyFill="1" applyBorder="1"/>
    <xf numFmtId="4" fontId="58" fillId="36" borderId="91" xfId="0" applyNumberFormat="1" applyFont="1" applyFill="1" applyBorder="1" applyAlignment="1">
      <alignment horizontal="center"/>
    </xf>
    <xf numFmtId="0" fontId="58" fillId="36" borderId="91" xfId="0" applyFont="1" applyFill="1" applyBorder="1" applyAlignment="1">
      <alignment horizontal="center"/>
    </xf>
    <xf numFmtId="0" fontId="59" fillId="36" borderId="92" xfId="0" applyFont="1" applyFill="1" applyBorder="1" applyAlignment="1">
      <alignment horizontal="center"/>
    </xf>
    <xf numFmtId="0" fontId="58" fillId="36" borderId="0" xfId="0" applyFont="1" applyFill="1"/>
    <xf numFmtId="0" fontId="58" fillId="40" borderId="90" xfId="0" applyFont="1" applyFill="1" applyBorder="1" applyAlignment="1">
      <alignment horizontal="center"/>
    </xf>
    <xf numFmtId="4" fontId="58" fillId="40" borderId="91" xfId="0" applyNumberFormat="1" applyFont="1" applyFill="1" applyBorder="1" applyAlignment="1">
      <alignment horizontal="center"/>
    </xf>
    <xf numFmtId="4" fontId="57" fillId="40" borderId="91" xfId="0" applyNumberFormat="1" applyFont="1" applyFill="1" applyBorder="1" applyAlignment="1">
      <alignment horizontal="center"/>
    </xf>
    <xf numFmtId="0" fontId="58" fillId="40" borderId="91" xfId="0" applyFont="1" applyFill="1" applyBorder="1" applyAlignment="1">
      <alignment horizontal="center"/>
    </xf>
    <xf numFmtId="0" fontId="59" fillId="40" borderId="92" xfId="0" applyFont="1" applyFill="1" applyBorder="1" applyAlignment="1">
      <alignment horizontal="center"/>
    </xf>
    <xf numFmtId="0" fontId="66" fillId="40" borderId="90" xfId="0" applyFont="1" applyFill="1" applyBorder="1" applyAlignment="1">
      <alignment horizontal="center"/>
    </xf>
    <xf numFmtId="4" fontId="66" fillId="40" borderId="91" xfId="0" applyNumberFormat="1" applyFont="1" applyFill="1" applyBorder="1" applyAlignment="1">
      <alignment horizontal="center"/>
    </xf>
    <xf numFmtId="4" fontId="67" fillId="40" borderId="91" xfId="0" applyNumberFormat="1" applyFont="1" applyFill="1" applyBorder="1" applyAlignment="1">
      <alignment horizontal="center"/>
    </xf>
    <xf numFmtId="0" fontId="66" fillId="40" borderId="91" xfId="0" applyFont="1" applyFill="1" applyBorder="1" applyAlignment="1">
      <alignment horizontal="center"/>
    </xf>
    <xf numFmtId="0" fontId="56" fillId="40" borderId="92" xfId="0" applyFont="1" applyFill="1" applyBorder="1" applyAlignment="1">
      <alignment horizontal="center"/>
    </xf>
    <xf numFmtId="0" fontId="58" fillId="0" borderId="0" xfId="0" applyFont="1" applyAlignment="1">
      <alignment vertical="center"/>
    </xf>
    <xf numFmtId="0" fontId="60" fillId="0" borderId="96" xfId="0" applyFont="1" applyBorder="1" applyAlignment="1">
      <alignment horizontal="center" vertical="center"/>
    </xf>
    <xf numFmtId="0" fontId="60" fillId="0" borderId="97" xfId="0" applyFont="1" applyBorder="1" applyAlignment="1">
      <alignment vertical="center"/>
    </xf>
    <xf numFmtId="0" fontId="60" fillId="0" borderId="98" xfId="0" applyFont="1" applyBorder="1" applyAlignment="1">
      <alignment horizontal="center" vertical="center"/>
    </xf>
    <xf numFmtId="0" fontId="60" fillId="0" borderId="99" xfId="0" applyFont="1" applyBorder="1" applyAlignment="1">
      <alignment horizontal="center" vertical="center"/>
    </xf>
    <xf numFmtId="0" fontId="57" fillId="0" borderId="93" xfId="0" applyFont="1" applyBorder="1" applyAlignment="1">
      <alignment horizontal="center" vertical="center"/>
    </xf>
    <xf numFmtId="4" fontId="57" fillId="0" borderId="94" xfId="0" applyNumberFormat="1" applyFont="1" applyBorder="1" applyAlignment="1">
      <alignment horizontal="center" vertical="center"/>
    </xf>
    <xf numFmtId="4" fontId="58" fillId="0" borderId="94" xfId="0" applyNumberFormat="1" applyFont="1" applyBorder="1" applyAlignment="1">
      <alignment horizontal="center" vertical="center"/>
    </xf>
    <xf numFmtId="0" fontId="58" fillId="0" borderId="94" xfId="0" applyFont="1" applyBorder="1" applyAlignment="1">
      <alignment horizontal="center" vertical="center"/>
    </xf>
    <xf numFmtId="0" fontId="59" fillId="0" borderId="95" xfId="0" applyFont="1" applyBorder="1" applyAlignment="1">
      <alignment horizontal="center" vertical="center"/>
    </xf>
    <xf numFmtId="0" fontId="58" fillId="0" borderId="90" xfId="0" applyFont="1" applyBorder="1" applyAlignment="1">
      <alignment horizontal="center" vertical="center"/>
    </xf>
    <xf numFmtId="4" fontId="58" fillId="0" borderId="91" xfId="0" applyNumberFormat="1" applyFont="1" applyBorder="1" applyAlignment="1">
      <alignment horizontal="center" vertical="center"/>
    </xf>
    <xf numFmtId="0" fontId="58" fillId="0" borderId="91" xfId="0" applyFont="1" applyBorder="1" applyAlignment="1">
      <alignment horizontal="center" vertical="center"/>
    </xf>
    <xf numFmtId="0" fontId="59" fillId="0" borderId="92" xfId="0" applyFont="1" applyBorder="1" applyAlignment="1">
      <alignment horizontal="center" vertical="center"/>
    </xf>
    <xf numFmtId="0" fontId="58" fillId="36" borderId="90" xfId="0" applyFont="1" applyFill="1" applyBorder="1" applyAlignment="1">
      <alignment horizontal="center" vertical="center"/>
    </xf>
    <xf numFmtId="1" fontId="58" fillId="36" borderId="100" xfId="0" applyNumberFormat="1" applyFont="1" applyFill="1" applyBorder="1" applyAlignment="1">
      <alignment horizontal="left" vertical="center"/>
    </xf>
    <xf numFmtId="0" fontId="58" fillId="36" borderId="101" xfId="0" applyFont="1" applyFill="1" applyBorder="1" applyAlignment="1">
      <alignment vertical="center"/>
    </xf>
    <xf numFmtId="0" fontId="58" fillId="36" borderId="102" xfId="0" applyFont="1" applyFill="1" applyBorder="1" applyAlignment="1">
      <alignment vertical="center"/>
    </xf>
    <xf numFmtId="4" fontId="58" fillId="36" borderId="91" xfId="0" applyNumberFormat="1" applyFont="1" applyFill="1" applyBorder="1" applyAlignment="1">
      <alignment horizontal="center" vertical="center"/>
    </xf>
    <xf numFmtId="0" fontId="58" fillId="36" borderId="91" xfId="0" applyFont="1" applyFill="1" applyBorder="1" applyAlignment="1">
      <alignment horizontal="center" vertical="center"/>
    </xf>
    <xf numFmtId="0" fontId="59" fillId="36" borderId="92" xfId="0" applyFont="1" applyFill="1" applyBorder="1" applyAlignment="1">
      <alignment horizontal="center" vertical="center"/>
    </xf>
    <xf numFmtId="0" fontId="58" fillId="36" borderId="0" xfId="0" applyFont="1" applyFill="1" applyAlignment="1">
      <alignment vertical="center"/>
    </xf>
    <xf numFmtId="0" fontId="58" fillId="40" borderId="90" xfId="0" applyFont="1" applyFill="1" applyBorder="1" applyAlignment="1">
      <alignment horizontal="center" vertical="center"/>
    </xf>
    <xf numFmtId="4" fontId="58" fillId="40" borderId="91" xfId="0" applyNumberFormat="1" applyFont="1" applyFill="1" applyBorder="1" applyAlignment="1">
      <alignment horizontal="center" vertical="center"/>
    </xf>
    <xf numFmtId="4" fontId="57" fillId="40" borderId="91" xfId="0" applyNumberFormat="1" applyFont="1" applyFill="1" applyBorder="1" applyAlignment="1">
      <alignment horizontal="center" vertical="center"/>
    </xf>
    <xf numFmtId="0" fontId="58" fillId="40" borderId="91" xfId="0" applyFont="1" applyFill="1" applyBorder="1" applyAlignment="1">
      <alignment horizontal="center" vertical="center"/>
    </xf>
    <xf numFmtId="0" fontId="59" fillId="40" borderId="92" xfId="0" applyFont="1" applyFill="1" applyBorder="1" applyAlignment="1">
      <alignment horizontal="center" vertical="center"/>
    </xf>
    <xf numFmtId="0" fontId="57" fillId="0" borderId="90" xfId="0" applyFont="1" applyBorder="1" applyAlignment="1">
      <alignment horizontal="center" vertical="center"/>
    </xf>
    <xf numFmtId="4" fontId="57" fillId="0" borderId="91" xfId="0" applyNumberFormat="1" applyFont="1" applyBorder="1" applyAlignment="1">
      <alignment horizontal="center" vertical="center"/>
    </xf>
    <xf numFmtId="0" fontId="66" fillId="40" borderId="90" xfId="0" applyFont="1" applyFill="1" applyBorder="1" applyAlignment="1">
      <alignment horizontal="center" vertical="center"/>
    </xf>
    <xf numFmtId="4" fontId="66" fillId="40" borderId="91" xfId="0" applyNumberFormat="1" applyFont="1" applyFill="1" applyBorder="1" applyAlignment="1">
      <alignment horizontal="center" vertical="center"/>
    </xf>
    <xf numFmtId="4" fontId="67" fillId="40" borderId="91" xfId="0" applyNumberFormat="1" applyFont="1" applyFill="1" applyBorder="1" applyAlignment="1">
      <alignment horizontal="center" vertical="center"/>
    </xf>
    <xf numFmtId="0" fontId="66" fillId="40" borderId="91" xfId="0" applyFont="1" applyFill="1" applyBorder="1" applyAlignment="1">
      <alignment horizontal="center" vertical="center"/>
    </xf>
    <xf numFmtId="0" fontId="56" fillId="40" borderId="92" xfId="0" applyFont="1" applyFill="1" applyBorder="1" applyAlignment="1">
      <alignment horizontal="center" vertical="center"/>
    </xf>
    <xf numFmtId="165" fontId="58" fillId="0" borderId="91" xfId="0" applyNumberFormat="1" applyFont="1" applyBorder="1" applyAlignment="1">
      <alignment horizontal="center" vertical="center"/>
    </xf>
    <xf numFmtId="4" fontId="58" fillId="37" borderId="91" xfId="0" applyNumberFormat="1" applyFont="1" applyFill="1" applyBorder="1" applyAlignment="1">
      <alignment horizontal="center" vertical="center"/>
    </xf>
    <xf numFmtId="4" fontId="58" fillId="0" borderId="91" xfId="0" applyNumberFormat="1" applyFont="1" applyBorder="1" applyAlignment="1">
      <alignment horizontal="right" vertical="center"/>
    </xf>
    <xf numFmtId="4" fontId="58" fillId="0" borderId="91" xfId="0" applyNumberFormat="1" applyFont="1" applyBorder="1" applyAlignment="1">
      <alignment vertical="center"/>
    </xf>
    <xf numFmtId="0" fontId="58" fillId="0" borderId="91" xfId="0" applyFont="1" applyBorder="1" applyAlignment="1">
      <alignment vertical="center"/>
    </xf>
    <xf numFmtId="0" fontId="58" fillId="0" borderId="92" xfId="0" applyFont="1" applyBorder="1" applyAlignment="1">
      <alignment vertical="center"/>
    </xf>
    <xf numFmtId="0" fontId="58" fillId="36" borderId="39" xfId="0" applyFont="1" applyFill="1" applyBorder="1" applyAlignment="1">
      <alignment vertical="center"/>
    </xf>
    <xf numFmtId="0" fontId="58" fillId="36" borderId="32" xfId="0" applyFont="1" applyFill="1" applyBorder="1" applyAlignment="1">
      <alignment vertical="center"/>
    </xf>
    <xf numFmtId="0" fontId="61" fillId="36" borderId="32" xfId="0" applyFont="1" applyFill="1" applyBorder="1" applyAlignment="1">
      <alignment vertical="center"/>
    </xf>
    <xf numFmtId="0" fontId="61" fillId="36" borderId="33" xfId="0" applyFont="1" applyFill="1" applyBorder="1" applyAlignment="1">
      <alignment vertical="center"/>
    </xf>
    <xf numFmtId="0" fontId="58" fillId="36" borderId="40" xfId="0" applyFont="1" applyFill="1" applyBorder="1" applyAlignment="1">
      <alignment vertical="center"/>
    </xf>
    <xf numFmtId="0" fontId="58" fillId="36" borderId="0" xfId="0" applyFont="1" applyFill="1" applyBorder="1" applyAlignment="1">
      <alignment vertical="center"/>
    </xf>
    <xf numFmtId="0" fontId="61" fillId="36" borderId="0" xfId="0" applyFont="1" applyFill="1" applyBorder="1" applyAlignment="1">
      <alignment vertical="center"/>
    </xf>
    <xf numFmtId="4" fontId="61" fillId="36" borderId="0" xfId="0" applyNumberFormat="1" applyFont="1" applyFill="1" applyBorder="1" applyAlignment="1">
      <alignment vertical="center"/>
    </xf>
    <xf numFmtId="0" fontId="61" fillId="36" borderId="29" xfId="0" applyFont="1" applyFill="1" applyBorder="1" applyAlignment="1">
      <alignment vertical="center"/>
    </xf>
    <xf numFmtId="0" fontId="62" fillId="36" borderId="29" xfId="0" applyFont="1" applyFill="1" applyBorder="1" applyAlignment="1">
      <alignment vertical="center"/>
    </xf>
    <xf numFmtId="40" fontId="61" fillId="36" borderId="0" xfId="0" applyNumberFormat="1" applyFont="1" applyFill="1" applyBorder="1" applyAlignment="1">
      <alignment vertical="center"/>
    </xf>
    <xf numFmtId="0" fontId="58" fillId="36" borderId="41" xfId="0" applyFont="1" applyFill="1" applyBorder="1" applyAlignment="1">
      <alignment vertical="center"/>
    </xf>
    <xf numFmtId="0" fontId="61" fillId="36" borderId="30" xfId="0" applyFont="1" applyFill="1" applyBorder="1" applyAlignment="1">
      <alignment vertical="center"/>
    </xf>
    <xf numFmtId="40" fontId="61" fillId="36" borderId="30" xfId="0" applyNumberFormat="1" applyFont="1" applyFill="1" applyBorder="1" applyAlignment="1">
      <alignment vertical="center"/>
    </xf>
    <xf numFmtId="0" fontId="61" fillId="36" borderId="31" xfId="0" applyFont="1" applyFill="1" applyBorder="1" applyAlignment="1">
      <alignment vertical="center"/>
    </xf>
    <xf numFmtId="2" fontId="58" fillId="36" borderId="0" xfId="0" applyNumberFormat="1" applyFont="1" applyFill="1" applyAlignment="1">
      <alignment vertical="center"/>
    </xf>
    <xf numFmtId="0" fontId="58" fillId="36" borderId="0" xfId="0" applyFont="1" applyFill="1" applyAlignment="1">
      <alignment horizontal="center" vertical="center"/>
    </xf>
    <xf numFmtId="169" fontId="58" fillId="36" borderId="0" xfId="0" applyNumberFormat="1" applyFont="1" applyFill="1" applyAlignment="1">
      <alignment vertical="center"/>
    </xf>
    <xf numFmtId="4" fontId="58" fillId="36" borderId="0" xfId="0" applyNumberFormat="1" applyFont="1" applyFill="1" applyAlignment="1">
      <alignment vertical="center"/>
    </xf>
    <xf numFmtId="0" fontId="59" fillId="36" borderId="0" xfId="0" applyFont="1" applyFill="1" applyAlignment="1">
      <alignment horizontal="right" vertical="center"/>
    </xf>
    <xf numFmtId="0" fontId="59" fillId="36" borderId="0" xfId="0" applyFont="1" applyFill="1" applyAlignment="1">
      <alignment vertical="center"/>
    </xf>
    <xf numFmtId="0" fontId="59" fillId="36" borderId="21" xfId="0" applyFont="1" applyFill="1" applyBorder="1" applyAlignment="1">
      <alignment horizontal="center" vertical="center" wrapText="1"/>
    </xf>
    <xf numFmtId="3" fontId="59" fillId="36" borderId="44" xfId="0" applyNumberFormat="1" applyFont="1" applyFill="1" applyBorder="1" applyAlignment="1">
      <alignment horizontal="right" vertical="center"/>
    </xf>
    <xf numFmtId="3" fontId="59" fillId="36" borderId="45" xfId="0" quotePrefix="1" applyNumberFormat="1" applyFont="1" applyFill="1" applyBorder="1" applyAlignment="1">
      <alignment horizontal="center" vertical="center"/>
    </xf>
    <xf numFmtId="169" fontId="59" fillId="36" borderId="46" xfId="0" applyNumberFormat="1" applyFont="1" applyFill="1" applyBorder="1" applyAlignment="1">
      <alignment horizontal="center" vertical="center"/>
    </xf>
    <xf numFmtId="3" fontId="59" fillId="36" borderId="44" xfId="0" applyNumberFormat="1" applyFont="1" applyFill="1" applyBorder="1" applyAlignment="1">
      <alignment horizontal="center" vertical="center"/>
    </xf>
    <xf numFmtId="3" fontId="59" fillId="36" borderId="45" xfId="0" applyNumberFormat="1" applyFont="1" applyFill="1" applyBorder="1" applyAlignment="1">
      <alignment horizontal="center" vertical="center"/>
    </xf>
    <xf numFmtId="169" fontId="59" fillId="36" borderId="46" xfId="0" applyNumberFormat="1" applyFont="1" applyFill="1" applyBorder="1" applyAlignment="1">
      <alignment horizontal="right" vertical="center"/>
    </xf>
    <xf numFmtId="179" fontId="59" fillId="36" borderId="22" xfId="1042" applyNumberFormat="1" applyFont="1" applyFill="1" applyBorder="1" applyAlignment="1">
      <alignment horizontal="right" vertical="center"/>
    </xf>
    <xf numFmtId="165" fontId="59" fillId="36" borderId="22" xfId="1042" applyFont="1" applyFill="1" applyBorder="1" applyAlignment="1">
      <alignment horizontal="right" vertical="center"/>
    </xf>
    <xf numFmtId="169" fontId="59" fillId="36" borderId="22" xfId="360" applyNumberFormat="1" applyFont="1" applyFill="1" applyBorder="1" applyAlignment="1">
      <alignment horizontal="right" vertical="center"/>
    </xf>
    <xf numFmtId="169" fontId="59" fillId="36" borderId="22" xfId="0" applyNumberFormat="1" applyFont="1" applyFill="1" applyBorder="1" applyAlignment="1">
      <alignment horizontal="right" vertical="center"/>
    </xf>
    <xf numFmtId="169" fontId="59" fillId="36" borderId="24" xfId="0" applyNumberFormat="1" applyFont="1" applyFill="1" applyBorder="1" applyAlignment="1">
      <alignment horizontal="right" vertical="center"/>
    </xf>
    <xf numFmtId="169" fontId="59" fillId="36" borderId="35" xfId="0" applyNumberFormat="1" applyFont="1" applyFill="1" applyBorder="1" applyAlignment="1">
      <alignment horizontal="right" vertical="center"/>
    </xf>
    <xf numFmtId="2" fontId="59" fillId="36" borderId="0" xfId="0" applyNumberFormat="1" applyFont="1" applyFill="1" applyAlignment="1">
      <alignment vertical="center"/>
    </xf>
    <xf numFmtId="3" fontId="59" fillId="36" borderId="47" xfId="0" applyNumberFormat="1" applyFont="1" applyFill="1" applyBorder="1" applyAlignment="1">
      <alignment horizontal="center" vertical="center"/>
    </xf>
    <xf numFmtId="179" fontId="59" fillId="36" borderId="24" xfId="1042" applyNumberFormat="1" applyFont="1" applyFill="1" applyBorder="1" applyAlignment="1">
      <alignment horizontal="right" vertical="center"/>
    </xf>
    <xf numFmtId="165" fontId="59" fillId="36" borderId="24" xfId="1042" applyFont="1" applyFill="1" applyBorder="1" applyAlignment="1">
      <alignment horizontal="right" vertical="center"/>
    </xf>
    <xf numFmtId="169" fontId="68" fillId="36" borderId="24" xfId="360" applyNumberFormat="1" applyFont="1" applyFill="1" applyBorder="1" applyAlignment="1">
      <alignment horizontal="right" vertical="center"/>
    </xf>
    <xf numFmtId="3" fontId="59" fillId="36" borderId="25" xfId="0" applyNumberFormat="1" applyFont="1" applyFill="1" applyBorder="1" applyAlignment="1">
      <alignment horizontal="right" vertical="center"/>
    </xf>
    <xf numFmtId="3" fontId="59" fillId="36" borderId="26" xfId="0" quotePrefix="1" applyNumberFormat="1" applyFont="1" applyFill="1" applyBorder="1" applyAlignment="1">
      <alignment horizontal="center" vertical="center"/>
    </xf>
    <xf numFmtId="169" fontId="59" fillId="36" borderId="48" xfId="0" applyNumberFormat="1" applyFont="1" applyFill="1" applyBorder="1" applyAlignment="1">
      <alignment horizontal="center" vertical="center"/>
    </xf>
    <xf numFmtId="3" fontId="59" fillId="36" borderId="49" xfId="0" applyNumberFormat="1" applyFont="1" applyFill="1" applyBorder="1" applyAlignment="1">
      <alignment horizontal="center" vertical="center"/>
    </xf>
    <xf numFmtId="3" fontId="59" fillId="36" borderId="50" xfId="0" applyNumberFormat="1" applyFont="1" applyFill="1" applyBorder="1" applyAlignment="1">
      <alignment horizontal="center" vertical="center"/>
    </xf>
    <xf numFmtId="169" fontId="59" fillId="36" borderId="27" xfId="0" applyNumberFormat="1" applyFont="1" applyFill="1" applyBorder="1" applyAlignment="1">
      <alignment horizontal="right" vertical="center"/>
    </xf>
    <xf numFmtId="169" fontId="59" fillId="36" borderId="24" xfId="360" applyNumberFormat="1" applyFont="1" applyFill="1" applyBorder="1" applyAlignment="1">
      <alignment horizontal="right" vertical="center"/>
    </xf>
    <xf numFmtId="3" fontId="59" fillId="36" borderId="49" xfId="0" applyNumberFormat="1" applyFont="1" applyFill="1" applyBorder="1" applyAlignment="1">
      <alignment horizontal="right" vertical="center"/>
    </xf>
    <xf numFmtId="3" fontId="59" fillId="36" borderId="50" xfId="0" quotePrefix="1" applyNumberFormat="1" applyFont="1" applyFill="1" applyBorder="1" applyAlignment="1">
      <alignment horizontal="center" vertical="center"/>
    </xf>
    <xf numFmtId="169" fontId="59" fillId="36" borderId="27" xfId="0" applyNumberFormat="1" applyFont="1" applyFill="1" applyBorder="1" applyAlignment="1">
      <alignment horizontal="center" vertical="center"/>
    </xf>
    <xf numFmtId="3" fontId="59" fillId="36" borderId="51" xfId="0" applyNumberFormat="1" applyFont="1" applyFill="1" applyBorder="1" applyAlignment="1">
      <alignment horizontal="right" vertical="center"/>
    </xf>
    <xf numFmtId="3" fontId="59" fillId="36" borderId="0" xfId="0" applyNumberFormat="1" applyFont="1" applyFill="1" applyBorder="1" applyAlignment="1">
      <alignment horizontal="center" vertical="center"/>
    </xf>
    <xf numFmtId="169" fontId="59" fillId="36" borderId="52" xfId="0" applyNumberFormat="1" applyFont="1" applyFill="1" applyBorder="1" applyAlignment="1">
      <alignment horizontal="center" vertical="center"/>
    </xf>
    <xf numFmtId="169" fontId="68" fillId="0" borderId="24" xfId="360" applyNumberFormat="1" applyFont="1" applyBorder="1" applyAlignment="1">
      <alignment horizontal="right" vertical="center"/>
    </xf>
    <xf numFmtId="4" fontId="59" fillId="36" borderId="24" xfId="1042" applyNumberFormat="1" applyFont="1" applyFill="1" applyBorder="1" applyAlignment="1">
      <alignment horizontal="right" vertical="center"/>
    </xf>
    <xf numFmtId="4" fontId="59" fillId="36" borderId="24" xfId="0" applyNumberFormat="1" applyFont="1" applyFill="1" applyBorder="1" applyAlignment="1">
      <alignment horizontal="right" vertical="center"/>
    </xf>
    <xf numFmtId="4" fontId="59" fillId="36" borderId="35" xfId="0" applyNumberFormat="1" applyFont="1" applyFill="1" applyBorder="1" applyAlignment="1">
      <alignment horizontal="right" vertical="center"/>
    </xf>
    <xf numFmtId="3" fontId="60" fillId="36" borderId="53" xfId="0" applyNumberFormat="1" applyFont="1" applyFill="1" applyBorder="1" applyAlignment="1">
      <alignment horizontal="left" vertical="center"/>
    </xf>
    <xf numFmtId="3" fontId="59" fillId="36" borderId="54" xfId="0" applyNumberFormat="1" applyFont="1" applyFill="1" applyBorder="1" applyAlignment="1">
      <alignment horizontal="center" vertical="center"/>
    </xf>
    <xf numFmtId="3" fontId="59" fillId="36" borderId="55" xfId="0" quotePrefix="1" applyNumberFormat="1" applyFont="1" applyFill="1" applyBorder="1" applyAlignment="1">
      <alignment horizontal="center" vertical="center"/>
    </xf>
    <xf numFmtId="169" fontId="59" fillId="36" borderId="56" xfId="0" applyNumberFormat="1" applyFont="1" applyFill="1" applyBorder="1" applyAlignment="1">
      <alignment horizontal="center" vertical="center"/>
    </xf>
    <xf numFmtId="3" fontId="59" fillId="36" borderId="55" xfId="0" applyNumberFormat="1" applyFont="1" applyFill="1" applyBorder="1" applyAlignment="1">
      <alignment horizontal="center" vertical="center"/>
    </xf>
    <xf numFmtId="169" fontId="60" fillId="36" borderId="57" xfId="1042" applyNumberFormat="1" applyFont="1" applyFill="1" applyBorder="1" applyAlignment="1">
      <alignment horizontal="right" vertical="center"/>
    </xf>
    <xf numFmtId="165" fontId="60" fillId="36" borderId="57" xfId="1042" applyFont="1" applyFill="1" applyBorder="1" applyAlignment="1">
      <alignment horizontal="right" vertical="center"/>
    </xf>
    <xf numFmtId="169" fontId="60" fillId="36" borderId="58" xfId="1042" applyNumberFormat="1" applyFont="1" applyFill="1" applyBorder="1" applyAlignment="1">
      <alignment horizontal="right" vertical="center"/>
    </xf>
    <xf numFmtId="0" fontId="59" fillId="36" borderId="0" xfId="0" applyFont="1" applyFill="1" applyAlignment="1">
      <alignment horizontal="center" vertical="center"/>
    </xf>
    <xf numFmtId="169" fontId="59" fillId="36" borderId="0" xfId="0" applyNumberFormat="1" applyFont="1" applyFill="1" applyAlignment="1">
      <alignment horizontal="center" vertical="center"/>
    </xf>
    <xf numFmtId="169" fontId="59" fillId="36" borderId="0" xfId="0" applyNumberFormat="1" applyFont="1" applyFill="1" applyAlignment="1">
      <alignment vertical="center"/>
    </xf>
    <xf numFmtId="169" fontId="59" fillId="36" borderId="0" xfId="0" applyNumberFormat="1" applyFont="1" applyFill="1" applyAlignment="1">
      <alignment horizontal="right" vertical="center"/>
    </xf>
    <xf numFmtId="179" fontId="59" fillId="36" borderId="0" xfId="0" applyNumberFormat="1" applyFont="1" applyFill="1" applyAlignment="1">
      <alignment vertical="center"/>
    </xf>
    <xf numFmtId="4" fontId="59" fillId="36" borderId="0" xfId="0" applyNumberFormat="1" applyFont="1" applyFill="1" applyAlignment="1">
      <alignment vertical="center"/>
    </xf>
    <xf numFmtId="3" fontId="69" fillId="36" borderId="59" xfId="0" applyNumberFormat="1" applyFont="1" applyFill="1" applyBorder="1" applyAlignment="1">
      <alignment horizontal="left" vertical="center" wrapText="1"/>
    </xf>
    <xf numFmtId="3" fontId="69" fillId="36" borderId="34" xfId="0" applyNumberFormat="1" applyFont="1" applyFill="1" applyBorder="1" applyAlignment="1">
      <alignment horizontal="left" vertical="center" wrapText="1"/>
    </xf>
    <xf numFmtId="4" fontId="57" fillId="36" borderId="0" xfId="1042" applyNumberFormat="1" applyFont="1" applyFill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4" fontId="57" fillId="36" borderId="24" xfId="0" applyNumberFormat="1" applyFont="1" applyFill="1" applyBorder="1" applyAlignment="1">
      <alignment horizontal="center" vertical="center"/>
    </xf>
    <xf numFmtId="4" fontId="58" fillId="36" borderId="24" xfId="0" applyNumberFormat="1" applyFont="1" applyFill="1" applyBorder="1" applyAlignment="1">
      <alignment horizontal="center" vertical="center"/>
    </xf>
    <xf numFmtId="4" fontId="58" fillId="36" borderId="0" xfId="0" applyNumberFormat="1" applyFont="1" applyFill="1" applyBorder="1" applyAlignment="1">
      <alignment horizontal="center" vertical="center"/>
    </xf>
    <xf numFmtId="4" fontId="70" fillId="36" borderId="0" xfId="0" applyNumberFormat="1" applyFont="1" applyFill="1" applyBorder="1" applyAlignment="1">
      <alignment horizontal="center" vertical="center"/>
    </xf>
    <xf numFmtId="0" fontId="58" fillId="36" borderId="60" xfId="0" applyFont="1" applyFill="1" applyBorder="1" applyAlignment="1">
      <alignment horizontal="left" vertical="center"/>
    </xf>
    <xf numFmtId="0" fontId="58" fillId="36" borderId="27" xfId="0" applyNumberFormat="1" applyFont="1" applyFill="1" applyBorder="1" applyAlignment="1">
      <alignment horizontal="left" vertical="center"/>
    </xf>
    <xf numFmtId="0" fontId="58" fillId="36" borderId="0" xfId="0" applyNumberFormat="1" applyFont="1" applyFill="1" applyAlignment="1">
      <alignment vertical="center"/>
    </xf>
    <xf numFmtId="0" fontId="71" fillId="36" borderId="61" xfId="0" applyNumberFormat="1" applyFont="1" applyFill="1" applyBorder="1" applyAlignment="1">
      <alignment horizontal="center" vertical="center"/>
    </xf>
    <xf numFmtId="0" fontId="71" fillId="36" borderId="49" xfId="0" applyNumberFormat="1" applyFont="1" applyFill="1" applyBorder="1" applyAlignment="1">
      <alignment horizontal="center" vertical="center"/>
    </xf>
    <xf numFmtId="0" fontId="71" fillId="36" borderId="35" xfId="0" applyNumberFormat="1" applyFont="1" applyFill="1" applyBorder="1" applyAlignment="1">
      <alignment horizontal="center" vertical="center" wrapText="1"/>
    </xf>
    <xf numFmtId="4" fontId="58" fillId="36" borderId="62" xfId="0" applyNumberFormat="1" applyFont="1" applyFill="1" applyBorder="1" applyAlignment="1">
      <alignment vertical="center"/>
    </xf>
    <xf numFmtId="4" fontId="71" fillId="36" borderId="63" xfId="0" applyNumberFormat="1" applyFont="1" applyFill="1" applyBorder="1" applyAlignment="1">
      <alignment vertical="center"/>
    </xf>
    <xf numFmtId="4" fontId="58" fillId="36" borderId="64" xfId="0" applyNumberFormat="1" applyFont="1" applyFill="1" applyBorder="1" applyAlignment="1">
      <alignment vertical="center"/>
    </xf>
    <xf numFmtId="171" fontId="57" fillId="36" borderId="35" xfId="1042" applyNumberFormat="1" applyFont="1" applyFill="1" applyBorder="1" applyAlignment="1">
      <alignment horizontal="right" vertical="center"/>
    </xf>
    <xf numFmtId="165" fontId="57" fillId="36" borderId="35" xfId="1042" applyFont="1" applyFill="1" applyBorder="1" applyAlignment="1">
      <alignment vertical="center"/>
    </xf>
    <xf numFmtId="165" fontId="57" fillId="36" borderId="65" xfId="1042" applyFont="1" applyFill="1" applyBorder="1" applyAlignment="1">
      <alignment vertical="center"/>
    </xf>
    <xf numFmtId="0" fontId="57" fillId="36" borderId="0" xfId="0" applyFont="1" applyFill="1" applyAlignment="1">
      <alignment vertical="center"/>
    </xf>
    <xf numFmtId="0" fontId="57" fillId="36" borderId="0" xfId="0" applyFont="1" applyFill="1" applyAlignment="1">
      <alignment vertical="center" wrapText="1"/>
    </xf>
    <xf numFmtId="0" fontId="57" fillId="36" borderId="36" xfId="0" applyFont="1" applyFill="1" applyBorder="1" applyAlignment="1">
      <alignment vertical="center"/>
    </xf>
    <xf numFmtId="0" fontId="63" fillId="36" borderId="0" xfId="0" applyFont="1" applyFill="1" applyAlignment="1">
      <alignment horizontal="left" vertical="center"/>
    </xf>
    <xf numFmtId="0" fontId="58" fillId="36" borderId="61" xfId="0" applyNumberFormat="1" applyFont="1" applyFill="1" applyBorder="1" applyAlignment="1">
      <alignment horizontal="left" vertical="center"/>
    </xf>
    <xf numFmtId="0" fontId="57" fillId="36" borderId="61" xfId="0" applyNumberFormat="1" applyFont="1" applyFill="1" applyBorder="1" applyAlignment="1">
      <alignment horizontal="left" vertical="center"/>
    </xf>
    <xf numFmtId="0" fontId="57" fillId="36" borderId="66" xfId="0" applyNumberFormat="1" applyFont="1" applyFill="1" applyBorder="1" applyAlignment="1">
      <alignment horizontal="left" vertical="center"/>
    </xf>
    <xf numFmtId="0" fontId="57" fillId="36" borderId="29" xfId="0" applyNumberFormat="1" applyFont="1" applyFill="1" applyBorder="1" applyAlignment="1">
      <alignment horizontal="left" vertical="center"/>
    </xf>
    <xf numFmtId="0" fontId="57" fillId="36" borderId="67" xfId="0" applyNumberFormat="1" applyFont="1" applyFill="1" applyBorder="1" applyAlignment="1">
      <alignment horizontal="left" vertical="center"/>
    </xf>
    <xf numFmtId="169" fontId="58" fillId="36" borderId="35" xfId="416" applyNumberFormat="1" applyFont="1" applyFill="1" applyBorder="1" applyAlignment="1">
      <alignment horizontal="right" vertical="center"/>
    </xf>
    <xf numFmtId="0" fontId="58" fillId="36" borderId="24" xfId="416" applyFont="1" applyFill="1" applyBorder="1" applyAlignment="1">
      <alignment horizontal="left" vertical="center"/>
    </xf>
    <xf numFmtId="169" fontId="58" fillId="36" borderId="38" xfId="416" applyNumberFormat="1" applyFont="1" applyFill="1" applyBorder="1" applyAlignment="1">
      <alignment horizontal="right" vertical="center"/>
    </xf>
    <xf numFmtId="169" fontId="58" fillId="36" borderId="35" xfId="1042" applyNumberFormat="1" applyFont="1" applyFill="1" applyBorder="1" applyAlignment="1">
      <alignment horizontal="right" vertical="center"/>
    </xf>
    <xf numFmtId="0" fontId="57" fillId="36" borderId="24" xfId="416" applyFont="1" applyFill="1" applyBorder="1" applyAlignment="1">
      <alignment vertical="center"/>
    </xf>
    <xf numFmtId="169" fontId="58" fillId="36" borderId="38" xfId="0" applyNumberFormat="1" applyFont="1" applyFill="1" applyBorder="1"/>
    <xf numFmtId="0" fontId="71" fillId="36" borderId="25" xfId="0" applyFont="1" applyFill="1" applyBorder="1" applyAlignment="1">
      <alignment horizontal="left" vertical="center"/>
    </xf>
    <xf numFmtId="0" fontId="71" fillId="36" borderId="26" xfId="0" applyFont="1" applyFill="1" applyBorder="1" applyAlignment="1">
      <alignment horizontal="left" vertical="center"/>
    </xf>
    <xf numFmtId="2" fontId="71" fillId="36" borderId="26" xfId="0" applyNumberFormat="1" applyFont="1" applyFill="1" applyBorder="1" applyAlignment="1">
      <alignment horizontal="left" vertical="center"/>
    </xf>
    <xf numFmtId="0" fontId="71" fillId="36" borderId="48" xfId="0" applyFont="1" applyFill="1" applyBorder="1" applyAlignment="1">
      <alignment horizontal="left" vertical="center"/>
    </xf>
    <xf numFmtId="0" fontId="58" fillId="36" borderId="49" xfId="0" applyFont="1" applyFill="1" applyBorder="1" applyAlignment="1" applyProtection="1">
      <alignment vertical="center"/>
    </xf>
    <xf numFmtId="0" fontId="58" fillId="36" borderId="50" xfId="0" applyFont="1" applyFill="1" applyBorder="1" applyAlignment="1" applyProtection="1">
      <alignment vertical="center"/>
    </xf>
    <xf numFmtId="2" fontId="58" fillId="36" borderId="27" xfId="0" applyNumberFormat="1" applyFont="1" applyFill="1" applyBorder="1" applyAlignment="1">
      <alignment vertical="center"/>
    </xf>
    <xf numFmtId="165" fontId="58" fillId="36" borderId="24" xfId="0" applyNumberFormat="1" applyFont="1" applyFill="1" applyBorder="1" applyAlignment="1">
      <alignment vertical="center"/>
    </xf>
    <xf numFmtId="0" fontId="58" fillId="36" borderId="24" xfId="0" applyFont="1" applyFill="1" applyBorder="1" applyAlignment="1">
      <alignment horizontal="center" vertical="center" wrapText="1"/>
    </xf>
    <xf numFmtId="0" fontId="58" fillId="36" borderId="22" xfId="0" applyFont="1" applyFill="1" applyBorder="1" applyAlignment="1">
      <alignment horizontal="center" vertical="center" wrapText="1"/>
    </xf>
    <xf numFmtId="0" fontId="58" fillId="36" borderId="22" xfId="0" applyFont="1" applyFill="1" applyBorder="1" applyAlignment="1">
      <alignment horizontal="center" vertical="center"/>
    </xf>
    <xf numFmtId="0" fontId="72" fillId="36" borderId="22" xfId="0" applyFont="1" applyFill="1" applyBorder="1" applyAlignment="1">
      <alignment horizontal="center" vertical="center" wrapText="1"/>
    </xf>
    <xf numFmtId="2" fontId="58" fillId="36" borderId="24" xfId="0" applyNumberFormat="1" applyFont="1" applyFill="1" applyBorder="1" applyAlignment="1">
      <alignment horizontal="center" vertical="center" wrapText="1"/>
    </xf>
    <xf numFmtId="0" fontId="58" fillId="36" borderId="24" xfId="0" applyFont="1" applyFill="1" applyBorder="1" applyAlignment="1">
      <alignment horizontal="center" vertical="center"/>
    </xf>
    <xf numFmtId="0" fontId="72" fillId="36" borderId="24" xfId="0" applyFont="1" applyFill="1" applyBorder="1" applyAlignment="1">
      <alignment horizontal="center" vertical="center" wrapText="1"/>
    </xf>
    <xf numFmtId="0" fontId="58" fillId="36" borderId="24" xfId="0" applyFont="1" applyFill="1" applyBorder="1" applyAlignment="1">
      <alignment horizontal="left" vertical="center" wrapText="1"/>
    </xf>
    <xf numFmtId="171" fontId="58" fillId="36" borderId="24" xfId="1042" applyNumberFormat="1" applyFont="1" applyFill="1" applyBorder="1" applyAlignment="1">
      <alignment horizontal="center" vertical="center"/>
    </xf>
    <xf numFmtId="165" fontId="58" fillId="36" borderId="24" xfId="1042" applyFont="1" applyFill="1" applyBorder="1" applyAlignment="1">
      <alignment vertical="center"/>
    </xf>
    <xf numFmtId="2" fontId="58" fillId="36" borderId="24" xfId="0" applyNumberFormat="1" applyFont="1" applyFill="1" applyBorder="1" applyAlignment="1">
      <alignment horizontal="center" vertical="center"/>
    </xf>
    <xf numFmtId="0" fontId="58" fillId="36" borderId="24" xfId="0" applyFont="1" applyFill="1" applyBorder="1" applyAlignment="1">
      <alignment vertical="center"/>
    </xf>
    <xf numFmtId="2" fontId="58" fillId="36" borderId="24" xfId="0" applyNumberFormat="1" applyFont="1" applyFill="1" applyBorder="1" applyAlignment="1">
      <alignment vertical="center"/>
    </xf>
    <xf numFmtId="165" fontId="57" fillId="36" borderId="24" xfId="0" applyNumberFormat="1" applyFont="1" applyFill="1" applyBorder="1" applyAlignment="1">
      <alignment vertical="center"/>
    </xf>
    <xf numFmtId="0" fontId="58" fillId="36" borderId="49" xfId="0" applyFont="1" applyFill="1" applyBorder="1" applyAlignment="1">
      <alignment horizontal="center" vertical="center"/>
    </xf>
    <xf numFmtId="0" fontId="58" fillId="36" borderId="50" xfId="0" applyFont="1" applyFill="1" applyBorder="1" applyAlignment="1">
      <alignment horizontal="center" vertical="center"/>
    </xf>
    <xf numFmtId="2" fontId="58" fillId="36" borderId="50" xfId="0" applyNumberFormat="1" applyFont="1" applyFill="1" applyBorder="1" applyAlignment="1">
      <alignment horizontal="center" vertical="center"/>
    </xf>
    <xf numFmtId="0" fontId="58" fillId="36" borderId="27" xfId="0" applyFont="1" applyFill="1" applyBorder="1" applyAlignment="1">
      <alignment horizontal="center" vertical="center"/>
    </xf>
    <xf numFmtId="169" fontId="58" fillId="36" borderId="24" xfId="1042" applyNumberFormat="1" applyFont="1" applyFill="1" applyBorder="1" applyAlignment="1">
      <alignment horizontal="center" vertical="center"/>
    </xf>
    <xf numFmtId="0" fontId="58" fillId="36" borderId="50" xfId="0" applyFont="1" applyFill="1" applyBorder="1" applyAlignment="1">
      <alignment vertical="center"/>
    </xf>
    <xf numFmtId="0" fontId="71" fillId="36" borderId="49" xfId="0" applyFont="1" applyFill="1" applyBorder="1" applyAlignment="1">
      <alignment horizontal="center" vertical="center"/>
    </xf>
    <xf numFmtId="0" fontId="71" fillId="36" borderId="50" xfId="0" applyFont="1" applyFill="1" applyBorder="1" applyAlignment="1">
      <alignment vertical="center"/>
    </xf>
    <xf numFmtId="0" fontId="57" fillId="36" borderId="50" xfId="0" applyFont="1" applyFill="1" applyBorder="1" applyAlignment="1">
      <alignment vertical="center"/>
    </xf>
    <xf numFmtId="2" fontId="57" fillId="36" borderId="50" xfId="0" applyNumberFormat="1" applyFont="1" applyFill="1" applyBorder="1" applyAlignment="1">
      <alignment vertical="center"/>
    </xf>
    <xf numFmtId="0" fontId="57" fillId="36" borderId="27" xfId="0" applyFont="1" applyFill="1" applyBorder="1" applyAlignment="1">
      <alignment vertical="center"/>
    </xf>
    <xf numFmtId="0" fontId="57" fillId="36" borderId="24" xfId="0" applyFont="1" applyFill="1" applyBorder="1" applyAlignment="1">
      <alignment horizontal="left" vertical="center"/>
    </xf>
    <xf numFmtId="2" fontId="57" fillId="36" borderId="24" xfId="0" applyNumberFormat="1" applyFont="1" applyFill="1" applyBorder="1" applyAlignment="1">
      <alignment horizontal="left" vertical="center"/>
    </xf>
    <xf numFmtId="0" fontId="58" fillId="36" borderId="24" xfId="0" applyFont="1" applyFill="1" applyBorder="1" applyAlignment="1">
      <alignment vertical="center" wrapText="1"/>
    </xf>
    <xf numFmtId="169" fontId="58" fillId="36" borderId="24" xfId="0" applyNumberFormat="1" applyFont="1" applyFill="1" applyBorder="1" applyAlignment="1">
      <alignment horizontal="center" vertical="center"/>
    </xf>
    <xf numFmtId="165" fontId="58" fillId="36" borderId="24" xfId="1042" applyFont="1" applyFill="1" applyBorder="1" applyAlignment="1">
      <alignment horizontal="center" vertical="center"/>
    </xf>
    <xf numFmtId="165" fontId="58" fillId="36" borderId="24" xfId="0" applyNumberFormat="1" applyFont="1" applyFill="1" applyBorder="1" applyAlignment="1">
      <alignment horizontal="center" vertical="center"/>
    </xf>
    <xf numFmtId="0" fontId="57" fillId="36" borderId="23" xfId="0" applyFont="1" applyFill="1" applyBorder="1" applyAlignment="1" applyProtection="1">
      <alignment vertical="center"/>
    </xf>
    <xf numFmtId="169" fontId="58" fillId="36" borderId="24" xfId="0" applyNumberFormat="1" applyFont="1" applyFill="1" applyBorder="1" applyAlignment="1">
      <alignment vertical="center"/>
    </xf>
    <xf numFmtId="3" fontId="58" fillId="36" borderId="24" xfId="0" applyNumberFormat="1" applyFont="1" applyFill="1" applyBorder="1" applyAlignment="1">
      <alignment horizontal="center" vertical="center"/>
    </xf>
    <xf numFmtId="174" fontId="58" fillId="36" borderId="24" xfId="1042" applyNumberFormat="1" applyFont="1" applyFill="1" applyBorder="1" applyAlignment="1">
      <alignment vertical="center"/>
    </xf>
    <xf numFmtId="0" fontId="71" fillId="36" borderId="24" xfId="0" applyFont="1" applyFill="1" applyBorder="1" applyAlignment="1">
      <alignment horizontal="center" vertical="center"/>
    </xf>
    <xf numFmtId="4" fontId="58" fillId="0" borderId="0" xfId="0" applyNumberFormat="1" applyFont="1"/>
    <xf numFmtId="0" fontId="72" fillId="34" borderId="50" xfId="0" applyFont="1" applyFill="1" applyBorder="1" applyAlignment="1">
      <alignment horizontal="center" vertical="center"/>
    </xf>
    <xf numFmtId="0" fontId="72" fillId="34" borderId="27" xfId="0" applyFont="1" applyFill="1" applyBorder="1" applyAlignment="1">
      <alignment horizontal="center" vertical="center"/>
    </xf>
    <xf numFmtId="0" fontId="72" fillId="34" borderId="49" xfId="0" applyFont="1" applyFill="1" applyBorder="1" applyAlignment="1">
      <alignment horizontal="center" vertical="center"/>
    </xf>
    <xf numFmtId="178" fontId="58" fillId="0" borderId="0" xfId="0" applyNumberFormat="1" applyFont="1"/>
    <xf numFmtId="0" fontId="72" fillId="36" borderId="50" xfId="0" applyFont="1" applyFill="1" applyBorder="1" applyAlignment="1">
      <alignment horizontal="center" vertical="center"/>
    </xf>
    <xf numFmtId="0" fontId="72" fillId="36" borderId="49" xfId="0" applyFont="1" applyFill="1" applyBorder="1" applyAlignment="1">
      <alignment horizontal="center" vertical="center"/>
    </xf>
    <xf numFmtId="0" fontId="72" fillId="36" borderId="27" xfId="0" applyFont="1" applyFill="1" applyBorder="1" applyAlignment="1">
      <alignment horizontal="center" vertical="center"/>
    </xf>
    <xf numFmtId="2" fontId="72" fillId="36" borderId="21" xfId="0" applyNumberFormat="1" applyFont="1" applyFill="1" applyBorder="1" applyAlignment="1">
      <alignment horizontal="center" vertical="center"/>
    </xf>
    <xf numFmtId="2" fontId="72" fillId="0" borderId="60" xfId="0" applyNumberFormat="1" applyFont="1" applyBorder="1" applyAlignment="1">
      <alignment horizontal="center" vertical="center"/>
    </xf>
    <xf numFmtId="180" fontId="72" fillId="36" borderId="49" xfId="0" applyNumberFormat="1" applyFont="1" applyFill="1" applyBorder="1" applyAlignment="1">
      <alignment horizontal="center" vertical="center"/>
    </xf>
    <xf numFmtId="180" fontId="72" fillId="36" borderId="50" xfId="0" applyNumberFormat="1" applyFont="1" applyFill="1" applyBorder="1" applyAlignment="1">
      <alignment horizontal="center" vertical="center"/>
    </xf>
    <xf numFmtId="2" fontId="72" fillId="36" borderId="22" xfId="0" applyNumberFormat="1" applyFont="1" applyFill="1" applyBorder="1" applyAlignment="1">
      <alignment horizontal="center" vertical="center"/>
    </xf>
    <xf numFmtId="180" fontId="72" fillId="36" borderId="27" xfId="0" applyNumberFormat="1" applyFont="1" applyFill="1" applyBorder="1" applyAlignment="1">
      <alignment horizontal="center" vertical="center"/>
    </xf>
    <xf numFmtId="165" fontId="72" fillId="0" borderId="24" xfId="0" applyNumberFormat="1" applyFont="1" applyBorder="1" applyAlignment="1">
      <alignment horizontal="center" vertical="center"/>
    </xf>
    <xf numFmtId="39" fontId="72" fillId="35" borderId="24" xfId="0" applyNumberFormat="1" applyFont="1" applyFill="1" applyBorder="1" applyAlignment="1">
      <alignment horizontal="center" vertical="center"/>
    </xf>
    <xf numFmtId="39" fontId="58" fillId="0" borderId="0" xfId="0" applyNumberFormat="1" applyFont="1"/>
    <xf numFmtId="43" fontId="58" fillId="0" borderId="0" xfId="0" applyNumberFormat="1" applyFont="1"/>
    <xf numFmtId="0" fontId="57" fillId="36" borderId="49" xfId="0" applyFont="1" applyFill="1" applyBorder="1" applyAlignment="1"/>
    <xf numFmtId="0" fontId="57" fillId="36" borderId="50" xfId="0" applyFont="1" applyFill="1" applyBorder="1" applyAlignment="1"/>
    <xf numFmtId="0" fontId="57" fillId="36" borderId="27" xfId="0" applyFont="1" applyFill="1" applyBorder="1" applyAlignment="1"/>
    <xf numFmtId="0" fontId="57" fillId="36" borderId="49" xfId="0" applyFont="1" applyFill="1" applyBorder="1" applyAlignment="1">
      <alignment vertical="center"/>
    </xf>
    <xf numFmtId="0" fontId="57" fillId="36" borderId="25" xfId="0" applyFont="1" applyFill="1" applyBorder="1" applyAlignment="1"/>
    <xf numFmtId="0" fontId="57" fillId="36" borderId="26" xfId="0" applyFont="1" applyFill="1" applyBorder="1" applyAlignment="1"/>
    <xf numFmtId="0" fontId="57" fillId="36" borderId="48" xfId="0" applyFont="1" applyFill="1" applyBorder="1" applyAlignment="1"/>
    <xf numFmtId="165" fontId="58" fillId="36" borderId="24" xfId="1042" applyNumberFormat="1" applyFont="1" applyFill="1" applyBorder="1" applyAlignment="1">
      <alignment vertical="center"/>
    </xf>
    <xf numFmtId="165" fontId="58" fillId="36" borderId="35" xfId="1042" applyFont="1" applyFill="1" applyBorder="1" applyAlignment="1">
      <alignment horizontal="center" vertical="center"/>
    </xf>
    <xf numFmtId="0" fontId="58" fillId="36" borderId="24" xfId="500" applyFont="1" applyFill="1" applyBorder="1" applyAlignment="1">
      <alignment vertical="center"/>
    </xf>
    <xf numFmtId="165" fontId="58" fillId="36" borderId="24" xfId="1042" quotePrefix="1" applyNumberFormat="1" applyFont="1" applyFill="1" applyBorder="1" applyAlignment="1">
      <alignment horizontal="center" vertical="center"/>
    </xf>
    <xf numFmtId="165" fontId="58" fillId="36" borderId="24" xfId="1042" quotePrefix="1" applyFont="1" applyFill="1" applyBorder="1" applyAlignment="1">
      <alignment horizontal="center" vertical="center"/>
    </xf>
    <xf numFmtId="165" fontId="58" fillId="36" borderId="35" xfId="1042" quotePrefix="1" applyFont="1" applyFill="1" applyBorder="1" applyAlignment="1">
      <alignment horizontal="center" vertical="center"/>
    </xf>
    <xf numFmtId="0" fontId="58" fillId="36" borderId="24" xfId="500" quotePrefix="1" applyFont="1" applyFill="1" applyBorder="1" applyAlignment="1">
      <alignment vertical="center"/>
    </xf>
    <xf numFmtId="165" fontId="58" fillId="36" borderId="24" xfId="1042" quotePrefix="1" applyFont="1" applyFill="1" applyBorder="1" applyAlignment="1">
      <alignment vertical="center"/>
    </xf>
    <xf numFmtId="165" fontId="58" fillId="36" borderId="24" xfId="1042" quotePrefix="1" applyNumberFormat="1" applyFont="1" applyFill="1" applyBorder="1" applyAlignment="1">
      <alignment horizontal="right" vertical="center"/>
    </xf>
    <xf numFmtId="165" fontId="58" fillId="36" borderId="35" xfId="1042" quotePrefix="1" applyFont="1" applyFill="1" applyBorder="1" applyAlignment="1">
      <alignment horizontal="right" vertical="center"/>
    </xf>
    <xf numFmtId="171" fontId="57" fillId="36" borderId="24" xfId="1042" applyNumberFormat="1" applyFont="1" applyFill="1" applyBorder="1" applyAlignment="1">
      <alignment vertical="center"/>
    </xf>
    <xf numFmtId="165" fontId="58" fillId="36" borderId="37" xfId="1042" applyFont="1" applyFill="1" applyBorder="1" applyAlignment="1">
      <alignment vertical="center"/>
    </xf>
    <xf numFmtId="165" fontId="58" fillId="36" borderId="37" xfId="1042" applyNumberFormat="1" applyFont="1" applyFill="1" applyBorder="1" applyAlignment="1">
      <alignment horizontal="left" vertical="center"/>
    </xf>
    <xf numFmtId="165" fontId="58" fillId="36" borderId="37" xfId="1042" applyNumberFormat="1" applyFont="1" applyFill="1" applyBorder="1" applyAlignment="1">
      <alignment horizontal="right" vertical="center"/>
    </xf>
    <xf numFmtId="165" fontId="57" fillId="36" borderId="37" xfId="1042" applyFont="1" applyFill="1" applyBorder="1" applyAlignment="1">
      <alignment vertical="center"/>
    </xf>
    <xf numFmtId="165" fontId="57" fillId="36" borderId="38" xfId="1042" applyNumberFormat="1" applyFont="1" applyFill="1" applyBorder="1" applyAlignment="1">
      <alignment horizontal="right" vertical="center"/>
    </xf>
    <xf numFmtId="0" fontId="57" fillId="36" borderId="22" xfId="500" applyFont="1" applyFill="1" applyBorder="1" applyAlignment="1">
      <alignment horizontal="center" vertical="center"/>
    </xf>
    <xf numFmtId="165" fontId="57" fillId="36" borderId="22" xfId="1042" applyFont="1" applyFill="1" applyBorder="1" applyAlignment="1">
      <alignment horizontal="center" vertical="center"/>
    </xf>
    <xf numFmtId="182" fontId="58" fillId="36" borderId="24" xfId="1042" applyNumberFormat="1" applyFont="1" applyFill="1" applyBorder="1" applyAlignment="1">
      <alignment horizontal="right" vertical="center"/>
    </xf>
    <xf numFmtId="0" fontId="58" fillId="36" borderId="24" xfId="500" applyFont="1" applyFill="1" applyBorder="1" applyAlignment="1">
      <alignment horizontal="left"/>
    </xf>
    <xf numFmtId="171" fontId="58" fillId="36" borderId="49" xfId="1042" applyNumberFormat="1" applyFont="1" applyFill="1" applyBorder="1" applyAlignment="1">
      <alignment horizontal="center" vertical="center"/>
    </xf>
    <xf numFmtId="0" fontId="69" fillId="36" borderId="0" xfId="0" applyFont="1" applyFill="1" applyAlignment="1">
      <alignment vertical="center"/>
    </xf>
    <xf numFmtId="0" fontId="57" fillId="36" borderId="24" xfId="0" applyFont="1" applyFill="1" applyBorder="1" applyAlignment="1">
      <alignment vertical="center"/>
    </xf>
    <xf numFmtId="0" fontId="57" fillId="36" borderId="24" xfId="0" applyFont="1" applyFill="1" applyBorder="1" applyAlignment="1">
      <alignment horizontal="center" vertical="center"/>
    </xf>
    <xf numFmtId="169" fontId="57" fillId="36" borderId="24" xfId="0" applyNumberFormat="1" applyFont="1" applyFill="1" applyBorder="1" applyAlignment="1">
      <alignment horizontal="center" vertical="center"/>
    </xf>
    <xf numFmtId="0" fontId="57" fillId="36" borderId="24" xfId="0" applyFont="1" applyFill="1" applyBorder="1" applyAlignment="1">
      <alignment horizontal="center" vertical="center" wrapText="1"/>
    </xf>
    <xf numFmtId="0" fontId="57" fillId="36" borderId="0" xfId="0" applyFont="1" applyFill="1" applyBorder="1" applyAlignment="1">
      <alignment horizontal="center" vertical="center"/>
    </xf>
    <xf numFmtId="4" fontId="58" fillId="36" borderId="24" xfId="0" applyNumberFormat="1" applyFont="1" applyFill="1" applyBorder="1" applyAlignment="1">
      <alignment vertical="center"/>
    </xf>
    <xf numFmtId="4" fontId="57" fillId="36" borderId="24" xfId="0" applyNumberFormat="1" applyFont="1" applyFill="1" applyBorder="1" applyAlignment="1">
      <alignment vertical="center"/>
    </xf>
    <xf numFmtId="0" fontId="58" fillId="36" borderId="0" xfId="416" applyFont="1" applyFill="1" applyBorder="1" applyAlignment="1">
      <alignment vertical="center"/>
    </xf>
    <xf numFmtId="2" fontId="71" fillId="36" borderId="0" xfId="0" applyNumberFormat="1" applyFont="1" applyFill="1" applyBorder="1" applyAlignment="1">
      <alignment horizontal="center" vertical="center" wrapText="1"/>
    </xf>
    <xf numFmtId="0" fontId="57" fillId="36" borderId="24" xfId="0" applyFont="1" applyFill="1" applyBorder="1" applyAlignment="1">
      <alignment vertical="center" wrapText="1"/>
    </xf>
    <xf numFmtId="4" fontId="71" fillId="36" borderId="24" xfId="0" applyNumberFormat="1" applyFont="1" applyFill="1" applyBorder="1" applyAlignment="1">
      <alignment horizontal="center" vertical="center"/>
    </xf>
    <xf numFmtId="165" fontId="58" fillId="36" borderId="0" xfId="1042" applyFont="1" applyFill="1" applyAlignment="1">
      <alignment vertical="center"/>
    </xf>
    <xf numFmtId="0" fontId="58" fillId="36" borderId="0" xfId="0" applyFont="1" applyFill="1" applyAlignment="1">
      <alignment horizontal="center"/>
    </xf>
    <xf numFmtId="0" fontId="57" fillId="36" borderId="0" xfId="0" applyFont="1" applyFill="1"/>
    <xf numFmtId="0" fontId="58" fillId="36" borderId="24" xfId="0" applyFont="1" applyFill="1" applyBorder="1"/>
    <xf numFmtId="172" fontId="57" fillId="36" borderId="24" xfId="499" applyNumberFormat="1" applyFont="1" applyFill="1" applyBorder="1" applyAlignment="1" applyProtection="1">
      <alignment horizontal="left" vertical="center"/>
      <protection locked="0"/>
    </xf>
    <xf numFmtId="169" fontId="58" fillId="36" borderId="35" xfId="0" applyNumberFormat="1" applyFont="1" applyFill="1" applyBorder="1" applyAlignment="1">
      <alignment horizontal="center" vertical="center"/>
    </xf>
    <xf numFmtId="0" fontId="58" fillId="36" borderId="24" xfId="416" applyFont="1" applyFill="1" applyBorder="1" applyAlignment="1">
      <alignment horizontal="center" vertical="center"/>
    </xf>
    <xf numFmtId="169" fontId="58" fillId="36" borderId="35" xfId="0" applyNumberFormat="1" applyFont="1" applyFill="1" applyBorder="1" applyAlignment="1">
      <alignment horizontal="right" vertical="center"/>
    </xf>
    <xf numFmtId="0" fontId="58" fillId="36" borderId="34" xfId="416" applyFont="1" applyFill="1" applyBorder="1" applyAlignment="1">
      <alignment horizontal="center" vertical="center"/>
    </xf>
    <xf numFmtId="0" fontId="58" fillId="36" borderId="24" xfId="416" applyFont="1" applyFill="1" applyBorder="1" applyAlignment="1">
      <alignment horizontal="left" vertical="center" wrapText="1"/>
    </xf>
    <xf numFmtId="10" fontId="58" fillId="36" borderId="0" xfId="0" applyNumberFormat="1" applyFont="1" applyFill="1"/>
    <xf numFmtId="173" fontId="58" fillId="36" borderId="0" xfId="0" applyNumberFormat="1" applyFont="1" applyFill="1"/>
    <xf numFmtId="0" fontId="58" fillId="36" borderId="24" xfId="427" applyFont="1" applyFill="1" applyBorder="1" applyAlignment="1">
      <alignment horizontal="center" vertical="center"/>
    </xf>
    <xf numFmtId="0" fontId="57" fillId="36" borderId="34" xfId="416" applyFont="1" applyFill="1" applyBorder="1" applyAlignment="1">
      <alignment horizontal="center" vertical="center"/>
    </xf>
    <xf numFmtId="0" fontId="57" fillId="36" borderId="24" xfId="416" applyFont="1" applyFill="1" applyBorder="1" applyAlignment="1">
      <alignment horizontal="center" vertical="center"/>
    </xf>
    <xf numFmtId="0" fontId="57" fillId="36" borderId="24" xfId="416" applyFont="1" applyFill="1" applyBorder="1" applyAlignment="1">
      <alignment horizontal="left" vertical="center"/>
    </xf>
    <xf numFmtId="0" fontId="57" fillId="36" borderId="34" xfId="0" applyFont="1" applyFill="1" applyBorder="1" applyAlignment="1">
      <alignment horizontal="center" vertical="center"/>
    </xf>
    <xf numFmtId="0" fontId="58" fillId="36" borderId="0" xfId="0" applyFont="1" applyFill="1" applyAlignment="1">
      <alignment horizontal="left" vertical="center"/>
    </xf>
    <xf numFmtId="0" fontId="74" fillId="36" borderId="24" xfId="0" applyFont="1" applyFill="1" applyBorder="1" applyAlignment="1">
      <alignment vertical="center" wrapText="1"/>
    </xf>
    <xf numFmtId="169" fontId="58" fillId="36" borderId="0" xfId="0" applyNumberFormat="1" applyFont="1" applyFill="1"/>
    <xf numFmtId="3" fontId="58" fillId="36" borderId="24" xfId="499" applyNumberFormat="1" applyFont="1" applyFill="1" applyBorder="1" applyAlignment="1" applyProtection="1">
      <alignment horizontal="center" vertical="center"/>
      <protection locked="0"/>
    </xf>
    <xf numFmtId="172" fontId="58" fillId="36" borderId="24" xfId="499" applyNumberFormat="1" applyFont="1" applyFill="1" applyBorder="1" applyAlignment="1" applyProtection="1">
      <alignment horizontal="center" vertical="center"/>
      <protection locked="0"/>
    </xf>
    <xf numFmtId="0" fontId="66" fillId="36" borderId="0" xfId="0" applyFont="1" applyFill="1"/>
    <xf numFmtId="0" fontId="58" fillId="36" borderId="37" xfId="416" applyFont="1" applyFill="1" applyBorder="1" applyAlignment="1">
      <alignment horizontal="center" vertical="center"/>
    </xf>
    <xf numFmtId="0" fontId="58" fillId="36" borderId="22" xfId="416" applyFont="1" applyFill="1" applyBorder="1" applyAlignment="1">
      <alignment horizontal="center" vertical="center"/>
    </xf>
    <xf numFmtId="0" fontId="57" fillId="36" borderId="22" xfId="0" applyFont="1" applyFill="1" applyBorder="1" applyAlignment="1">
      <alignment vertical="center"/>
    </xf>
    <xf numFmtId="0" fontId="58" fillId="36" borderId="0" xfId="0" applyFont="1" applyFill="1" applyAlignment="1">
      <alignment horizontal="left"/>
    </xf>
    <xf numFmtId="0" fontId="58" fillId="36" borderId="24" xfId="416" applyFont="1" applyFill="1" applyBorder="1" applyAlignment="1">
      <alignment vertical="center"/>
    </xf>
    <xf numFmtId="0" fontId="58" fillId="36" borderId="24" xfId="416" applyFont="1" applyFill="1" applyBorder="1" applyAlignment="1">
      <alignment vertical="center" wrapText="1"/>
    </xf>
    <xf numFmtId="170" fontId="58" fillId="36" borderId="35" xfId="416" applyNumberFormat="1" applyFont="1" applyFill="1" applyBorder="1" applyAlignment="1">
      <alignment horizontal="right" vertical="center"/>
    </xf>
    <xf numFmtId="0" fontId="58" fillId="36" borderId="21" xfId="416" applyFont="1" applyFill="1" applyBorder="1" applyAlignment="1">
      <alignment horizontal="center" vertical="center"/>
    </xf>
    <xf numFmtId="0" fontId="58" fillId="36" borderId="21" xfId="416" applyFont="1" applyFill="1" applyBorder="1" applyAlignment="1">
      <alignment vertical="center" wrapText="1"/>
    </xf>
    <xf numFmtId="0" fontId="58" fillId="36" borderId="21" xfId="0" applyFont="1" applyFill="1" applyBorder="1" applyAlignment="1">
      <alignment horizontal="center" vertical="center"/>
    </xf>
    <xf numFmtId="169" fontId="58" fillId="36" borderId="62" xfId="0" applyNumberFormat="1" applyFont="1" applyFill="1" applyBorder="1" applyAlignment="1">
      <alignment horizontal="right" vertical="center"/>
    </xf>
    <xf numFmtId="0" fontId="58" fillId="36" borderId="21" xfId="416" quotePrefix="1" applyFont="1" applyFill="1" applyBorder="1" applyAlignment="1">
      <alignment horizontal="center" vertical="center"/>
    </xf>
    <xf numFmtId="0" fontId="58" fillId="36" borderId="36" xfId="416" applyFont="1" applyFill="1" applyBorder="1" applyAlignment="1">
      <alignment horizontal="center" vertical="center"/>
    </xf>
    <xf numFmtId="0" fontId="58" fillId="36" borderId="37" xfId="0" applyFont="1" applyFill="1" applyBorder="1" applyAlignment="1">
      <alignment horizontal="center"/>
    </xf>
    <xf numFmtId="0" fontId="58" fillId="36" borderId="37" xfId="0" applyFont="1" applyFill="1" applyBorder="1"/>
    <xf numFmtId="10" fontId="57" fillId="36" borderId="48" xfId="0" applyNumberFormat="1" applyFont="1" applyFill="1" applyBorder="1" applyAlignment="1">
      <alignment horizontal="center" vertical="center" wrapText="1"/>
    </xf>
    <xf numFmtId="10" fontId="57" fillId="36" borderId="46" xfId="0" applyNumberFormat="1" applyFont="1" applyFill="1" applyBorder="1" applyAlignment="1">
      <alignment horizontal="center" vertical="center" wrapText="1"/>
    </xf>
    <xf numFmtId="168" fontId="57" fillId="36" borderId="60" xfId="0" quotePrefix="1" applyNumberFormat="1" applyFont="1" applyFill="1" applyBorder="1" applyAlignment="1">
      <alignment horizontal="center" vertical="center"/>
    </xf>
    <xf numFmtId="165" fontId="57" fillId="36" borderId="24" xfId="1042" applyFont="1" applyFill="1" applyBorder="1" applyAlignment="1">
      <alignment horizontal="center" vertical="center" wrapText="1"/>
    </xf>
    <xf numFmtId="0" fontId="58" fillId="33" borderId="24" xfId="0" applyFont="1" applyFill="1" applyBorder="1" applyAlignment="1">
      <alignment horizontal="center"/>
    </xf>
    <xf numFmtId="0" fontId="58" fillId="0" borderId="24" xfId="0" applyFont="1" applyBorder="1" applyAlignment="1">
      <alignment horizontal="center"/>
    </xf>
    <xf numFmtId="0" fontId="58" fillId="36" borderId="34" xfId="0" applyFont="1" applyFill="1" applyBorder="1" applyAlignment="1">
      <alignment vertical="center"/>
    </xf>
    <xf numFmtId="0" fontId="58" fillId="36" borderId="24" xfId="0" applyFont="1" applyFill="1" applyBorder="1" applyAlignment="1">
      <alignment horizontal="center"/>
    </xf>
    <xf numFmtId="2" fontId="58" fillId="36" borderId="24" xfId="0" applyNumberFormat="1" applyFont="1" applyFill="1" applyBorder="1" applyAlignment="1">
      <alignment horizontal="center"/>
    </xf>
    <xf numFmtId="0" fontId="58" fillId="36" borderId="35" xfId="0" quotePrefix="1" applyFont="1" applyFill="1" applyBorder="1" applyAlignment="1">
      <alignment horizontal="center" vertical="center"/>
    </xf>
    <xf numFmtId="1" fontId="58" fillId="36" borderId="24" xfId="0" applyNumberFormat="1" applyFont="1" applyFill="1" applyBorder="1" applyAlignment="1">
      <alignment horizontal="center"/>
    </xf>
    <xf numFmtId="0" fontId="58" fillId="36" borderId="35" xfId="0" applyFont="1" applyFill="1" applyBorder="1" applyAlignment="1">
      <alignment horizontal="center" vertical="center"/>
    </xf>
    <xf numFmtId="0" fontId="58" fillId="36" borderId="61" xfId="0" applyFont="1" applyFill="1" applyBorder="1" applyAlignment="1">
      <alignment horizontal="left"/>
    </xf>
    <xf numFmtId="0" fontId="58" fillId="36" borderId="27" xfId="0" applyFont="1" applyFill="1" applyBorder="1" applyAlignment="1">
      <alignment horizontal="left"/>
    </xf>
    <xf numFmtId="2" fontId="58" fillId="36" borderId="24" xfId="0" quotePrefix="1" applyNumberFormat="1" applyFont="1" applyFill="1" applyBorder="1" applyAlignment="1">
      <alignment horizontal="center"/>
    </xf>
    <xf numFmtId="40" fontId="58" fillId="36" borderId="24" xfId="0" applyNumberFormat="1" applyFont="1" applyFill="1" applyBorder="1" applyAlignment="1">
      <alignment horizontal="center"/>
    </xf>
    <xf numFmtId="165" fontId="58" fillId="36" borderId="24" xfId="1042" applyFont="1" applyFill="1" applyBorder="1" applyAlignment="1">
      <alignment horizontal="right"/>
    </xf>
    <xf numFmtId="0" fontId="58" fillId="36" borderId="34" xfId="0" applyFont="1" applyFill="1" applyBorder="1" applyAlignment="1">
      <alignment horizontal="left"/>
    </xf>
    <xf numFmtId="0" fontId="58" fillId="36" borderId="24" xfId="0" applyFont="1" applyFill="1" applyBorder="1" applyAlignment="1">
      <alignment horizontal="left"/>
    </xf>
    <xf numFmtId="4" fontId="58" fillId="36" borderId="24" xfId="0" applyNumberFormat="1" applyFont="1" applyFill="1" applyBorder="1" applyAlignment="1">
      <alignment horizontal="center"/>
    </xf>
    <xf numFmtId="0" fontId="58" fillId="36" borderId="68" xfId="0" quotePrefix="1" applyFont="1" applyFill="1" applyBorder="1" applyAlignment="1">
      <alignment horizontal="center" vertical="center"/>
    </xf>
    <xf numFmtId="181" fontId="58" fillId="36" borderId="68" xfId="0" applyNumberFormat="1" applyFont="1" applyFill="1" applyBorder="1" applyAlignment="1">
      <alignment horizontal="center" vertical="center"/>
    </xf>
    <xf numFmtId="0" fontId="58" fillId="36" borderId="69" xfId="0" quotePrefix="1" applyFont="1" applyFill="1" applyBorder="1" applyAlignment="1">
      <alignment horizontal="center" vertical="center"/>
    </xf>
    <xf numFmtId="0" fontId="58" fillId="36" borderId="24" xfId="0" quotePrefix="1" applyFont="1" applyFill="1" applyBorder="1" applyAlignment="1">
      <alignment horizontal="center" vertical="center"/>
    </xf>
    <xf numFmtId="181" fontId="58" fillId="36" borderId="22" xfId="0" applyNumberFormat="1" applyFont="1" applyFill="1" applyBorder="1" applyAlignment="1">
      <alignment horizontal="center" vertical="center"/>
    </xf>
    <xf numFmtId="0" fontId="58" fillId="36" borderId="70" xfId="0" applyFont="1" applyFill="1" applyBorder="1" applyAlignment="1">
      <alignment vertical="center"/>
    </xf>
    <xf numFmtId="0" fontId="58" fillId="36" borderId="71" xfId="0" applyFont="1" applyFill="1" applyBorder="1" applyAlignment="1">
      <alignment vertical="center"/>
    </xf>
    <xf numFmtId="0" fontId="58" fillId="36" borderId="37" xfId="0" quotePrefix="1" applyFont="1" applyFill="1" applyBorder="1" applyAlignment="1">
      <alignment horizontal="center" vertical="center"/>
    </xf>
    <xf numFmtId="181" fontId="57" fillId="36" borderId="72" xfId="0" applyNumberFormat="1" applyFont="1" applyFill="1" applyBorder="1" applyAlignment="1">
      <alignment horizontal="center" vertical="center"/>
    </xf>
    <xf numFmtId="0" fontId="58" fillId="36" borderId="38" xfId="0" quotePrefix="1" applyFont="1" applyFill="1" applyBorder="1" applyAlignment="1">
      <alignment horizontal="center" vertical="center"/>
    </xf>
    <xf numFmtId="2" fontId="58" fillId="0" borderId="0" xfId="0" applyNumberFormat="1" applyFont="1"/>
    <xf numFmtId="0" fontId="76" fillId="33" borderId="34" xfId="0" applyFont="1" applyFill="1" applyBorder="1" applyAlignment="1">
      <alignment horizontal="center"/>
    </xf>
    <xf numFmtId="0" fontId="76" fillId="33" borderId="24" xfId="0" applyFont="1" applyFill="1" applyBorder="1" applyAlignment="1">
      <alignment horizontal="centerContinuous"/>
    </xf>
    <xf numFmtId="0" fontId="76" fillId="33" borderId="35" xfId="0" applyFont="1" applyFill="1" applyBorder="1" applyAlignment="1">
      <alignment horizontal="center"/>
    </xf>
    <xf numFmtId="0" fontId="76" fillId="33" borderId="24" xfId="0" applyFont="1" applyFill="1" applyBorder="1" applyAlignment="1">
      <alignment horizontal="center"/>
    </xf>
    <xf numFmtId="0" fontId="69" fillId="36" borderId="34" xfId="0" applyFont="1" applyFill="1" applyBorder="1" applyAlignment="1">
      <alignment horizontal="center" vertical="center" wrapText="1"/>
    </xf>
    <xf numFmtId="0" fontId="69" fillId="36" borderId="24" xfId="0" applyFont="1" applyFill="1" applyBorder="1" applyAlignment="1">
      <alignment horizontal="center"/>
    </xf>
    <xf numFmtId="0" fontId="69" fillId="36" borderId="24" xfId="0" applyFont="1" applyFill="1" applyBorder="1" applyAlignment="1">
      <alignment horizontal="center" vertical="center"/>
    </xf>
    <xf numFmtId="2" fontId="69" fillId="36" borderId="24" xfId="0" applyNumberFormat="1" applyFont="1" applyFill="1" applyBorder="1" applyAlignment="1">
      <alignment horizontal="center" vertical="center"/>
    </xf>
    <xf numFmtId="170" fontId="69" fillId="36" borderId="24" xfId="0" applyNumberFormat="1" applyFont="1" applyFill="1" applyBorder="1" applyAlignment="1">
      <alignment horizontal="center" vertical="center"/>
    </xf>
    <xf numFmtId="0" fontId="69" fillId="36" borderId="35" xfId="0" applyFont="1" applyFill="1" applyBorder="1" applyAlignment="1">
      <alignment horizontal="center" vertical="center"/>
    </xf>
    <xf numFmtId="0" fontId="69" fillId="36" borderId="61" xfId="0" applyFont="1" applyFill="1" applyBorder="1" applyAlignment="1">
      <alignment horizontal="center" vertical="center" wrapText="1"/>
    </xf>
    <xf numFmtId="0" fontId="69" fillId="36" borderId="50" xfId="0" applyFont="1" applyFill="1" applyBorder="1" applyAlignment="1">
      <alignment horizontal="center" vertical="center" wrapText="1"/>
    </xf>
    <xf numFmtId="0" fontId="69" fillId="36" borderId="65" xfId="0" applyFont="1" applyFill="1" applyBorder="1" applyAlignment="1">
      <alignment horizontal="center" vertical="center" wrapText="1"/>
    </xf>
    <xf numFmtId="0" fontId="77" fillId="0" borderId="0" xfId="0" applyFont="1"/>
    <xf numFmtId="0" fontId="69" fillId="33" borderId="61" xfId="0" applyFont="1" applyFill="1" applyBorder="1" applyAlignment="1">
      <alignment horizontal="center" vertical="center" wrapText="1"/>
    </xf>
    <xf numFmtId="0" fontId="69" fillId="33" borderId="50" xfId="0" applyFont="1" applyFill="1" applyBorder="1" applyAlignment="1">
      <alignment horizontal="center" vertical="center" wrapText="1"/>
    </xf>
    <xf numFmtId="0" fontId="69" fillId="33" borderId="65" xfId="0" applyFont="1" applyFill="1" applyBorder="1" applyAlignment="1">
      <alignment horizontal="center" vertical="center" wrapText="1"/>
    </xf>
    <xf numFmtId="0" fontId="78" fillId="41" borderId="34" xfId="0" applyFont="1" applyFill="1" applyBorder="1" applyAlignment="1">
      <alignment horizontal="center" vertical="center"/>
    </xf>
    <xf numFmtId="0" fontId="69" fillId="41" borderId="24" xfId="0" applyFont="1" applyFill="1" applyBorder="1" applyAlignment="1">
      <alignment horizontal="center" vertical="center"/>
    </xf>
    <xf numFmtId="0" fontId="79" fillId="41" borderId="24" xfId="0" applyFont="1" applyFill="1" applyBorder="1" applyAlignment="1">
      <alignment horizontal="center" vertical="center"/>
    </xf>
    <xf numFmtId="0" fontId="79" fillId="41" borderId="35" xfId="0" applyFont="1" applyFill="1" applyBorder="1" applyAlignment="1">
      <alignment horizontal="center" vertical="center"/>
    </xf>
    <xf numFmtId="0" fontId="78" fillId="41" borderId="36" xfId="0" applyFont="1" applyFill="1" applyBorder="1" applyAlignment="1">
      <alignment horizontal="center" vertical="center"/>
    </xf>
    <xf numFmtId="0" fontId="69" fillId="41" borderId="37" xfId="0" applyFont="1" applyFill="1" applyBorder="1" applyAlignment="1">
      <alignment horizontal="center" vertical="center"/>
    </xf>
    <xf numFmtId="0" fontId="79" fillId="41" borderId="37" xfId="0" applyFont="1" applyFill="1" applyBorder="1" applyAlignment="1">
      <alignment horizontal="center" vertical="center"/>
    </xf>
    <xf numFmtId="0" fontId="79" fillId="41" borderId="38" xfId="0" applyFont="1" applyFill="1" applyBorder="1" applyAlignment="1">
      <alignment horizontal="center" vertical="center"/>
    </xf>
    <xf numFmtId="169" fontId="58" fillId="0" borderId="0" xfId="0" applyNumberFormat="1" applyFont="1"/>
    <xf numFmtId="170" fontId="58" fillId="0" borderId="0" xfId="0" applyNumberFormat="1" applyFont="1"/>
    <xf numFmtId="165" fontId="58" fillId="36" borderId="24" xfId="1042" applyNumberFormat="1" applyFont="1" applyFill="1" applyBorder="1" applyAlignment="1">
      <alignment horizontal="center" vertical="center"/>
    </xf>
    <xf numFmtId="0" fontId="57" fillId="36" borderId="24" xfId="500" applyFont="1" applyFill="1" applyBorder="1" applyAlignment="1">
      <alignment vertical="center"/>
    </xf>
    <xf numFmtId="0" fontId="57" fillId="36" borderId="37" xfId="500" applyFont="1" applyFill="1" applyBorder="1" applyAlignment="1">
      <alignment vertical="center"/>
    </xf>
    <xf numFmtId="183" fontId="58" fillId="36" borderId="24" xfId="1042" quotePrefix="1" applyNumberFormat="1" applyFont="1" applyFill="1" applyBorder="1" applyAlignment="1">
      <alignment horizontal="center" vertical="center"/>
    </xf>
    <xf numFmtId="184" fontId="58" fillId="36" borderId="24" xfId="1042" quotePrefix="1" applyNumberFormat="1" applyFont="1" applyFill="1" applyBorder="1" applyAlignment="1">
      <alignment horizontal="center" vertical="center"/>
    </xf>
    <xf numFmtId="171" fontId="58" fillId="36" borderId="24" xfId="1042" quotePrefix="1" applyNumberFormat="1" applyFont="1" applyFill="1" applyBorder="1" applyAlignment="1">
      <alignment horizontal="left" vertical="center" indent="1"/>
    </xf>
    <xf numFmtId="171" fontId="58" fillId="36" borderId="24" xfId="1042" quotePrefix="1" applyNumberFormat="1" applyFont="1" applyFill="1" applyBorder="1" applyAlignment="1">
      <alignment horizontal="center" vertical="center"/>
    </xf>
    <xf numFmtId="169" fontId="58" fillId="36" borderId="49" xfId="500" applyNumberFormat="1" applyFont="1" applyFill="1" applyBorder="1" applyAlignment="1">
      <alignment horizontal="right"/>
    </xf>
    <xf numFmtId="175" fontId="58" fillId="36" borderId="49" xfId="500" applyNumberFormat="1" applyFont="1" applyFill="1" applyBorder="1" applyAlignment="1">
      <alignment horizontal="right"/>
    </xf>
    <xf numFmtId="0" fontId="58" fillId="36" borderId="24" xfId="500" applyFont="1" applyFill="1" applyBorder="1" applyAlignment="1">
      <alignment horizontal="left" vertical="center"/>
    </xf>
    <xf numFmtId="4" fontId="58" fillId="36" borderId="49" xfId="500" applyNumberFormat="1" applyFont="1" applyFill="1" applyBorder="1" applyAlignment="1">
      <alignment horizontal="right"/>
    </xf>
    <xf numFmtId="171" fontId="58" fillId="36" borderId="49" xfId="500" applyNumberFormat="1" applyFont="1" applyFill="1" applyBorder="1" applyAlignment="1">
      <alignment horizontal="right"/>
    </xf>
    <xf numFmtId="181" fontId="58" fillId="36" borderId="72" xfId="0" applyNumberFormat="1" applyFont="1" applyFill="1" applyBorder="1" applyAlignment="1">
      <alignment horizontal="center" vertical="center"/>
    </xf>
    <xf numFmtId="0" fontId="58" fillId="36" borderId="73" xfId="0" applyFont="1" applyFill="1" applyBorder="1" applyAlignment="1">
      <alignment vertical="center"/>
    </xf>
    <xf numFmtId="0" fontId="57" fillId="36" borderId="41" xfId="0" applyFont="1" applyFill="1" applyBorder="1" applyAlignment="1">
      <alignment vertical="center"/>
    </xf>
    <xf numFmtId="0" fontId="58" fillId="36" borderId="74" xfId="0" applyFont="1" applyFill="1" applyBorder="1" applyAlignment="1">
      <alignment vertical="center"/>
    </xf>
    <xf numFmtId="0" fontId="58" fillId="36" borderId="72" xfId="0" quotePrefix="1" applyFont="1" applyFill="1" applyBorder="1" applyAlignment="1">
      <alignment horizontal="center" vertical="center"/>
    </xf>
    <xf numFmtId="0" fontId="58" fillId="36" borderId="75" xfId="0" quotePrefix="1" applyFont="1" applyFill="1" applyBorder="1" applyAlignment="1">
      <alignment horizontal="center" vertical="center"/>
    </xf>
    <xf numFmtId="0" fontId="58" fillId="36" borderId="36" xfId="0" applyFont="1" applyFill="1" applyBorder="1" applyAlignment="1">
      <alignment vertical="center"/>
    </xf>
    <xf numFmtId="181" fontId="58" fillId="36" borderId="37" xfId="0" applyNumberFormat="1" applyFont="1" applyFill="1" applyBorder="1" applyAlignment="1">
      <alignment horizontal="center" vertical="center"/>
    </xf>
    <xf numFmtId="186" fontId="79" fillId="41" borderId="24" xfId="0" applyNumberFormat="1" applyFont="1" applyFill="1" applyBorder="1" applyAlignment="1">
      <alignment horizontal="center" vertical="center"/>
    </xf>
    <xf numFmtId="185" fontId="79" fillId="41" borderId="37" xfId="0" applyNumberFormat="1" applyFont="1" applyFill="1" applyBorder="1" applyAlignment="1">
      <alignment horizontal="center" vertical="center"/>
    </xf>
    <xf numFmtId="0" fontId="79" fillId="36" borderId="0" xfId="0" applyFont="1" applyFill="1" applyBorder="1" applyAlignment="1">
      <alignment vertical="center"/>
    </xf>
    <xf numFmtId="0" fontId="71" fillId="36" borderId="51" xfId="0" applyFont="1" applyFill="1" applyBorder="1" applyAlignment="1">
      <alignment horizontal="center" vertical="center"/>
    </xf>
    <xf numFmtId="0" fontId="1" fillId="36" borderId="0" xfId="501" applyFill="1"/>
    <xf numFmtId="0" fontId="0" fillId="36" borderId="0" xfId="0" applyFill="1"/>
    <xf numFmtId="0" fontId="1" fillId="36" borderId="0" xfId="501" applyFill="1" applyBorder="1"/>
    <xf numFmtId="0" fontId="2" fillId="36" borderId="0" xfId="501" applyFont="1" applyFill="1"/>
    <xf numFmtId="0" fontId="1" fillId="36" borderId="0" xfId="501" applyFill="1" applyAlignment="1">
      <alignment horizontal="left"/>
    </xf>
    <xf numFmtId="0" fontId="1" fillId="36" borderId="0" xfId="501" applyFont="1" applyFill="1" applyBorder="1" applyAlignment="1"/>
    <xf numFmtId="0" fontId="1" fillId="36" borderId="0" xfId="501" applyFont="1" applyFill="1" applyBorder="1" applyAlignment="1">
      <alignment horizontal="left"/>
    </xf>
    <xf numFmtId="0" fontId="3" fillId="36" borderId="0" xfId="501" applyFont="1" applyFill="1" applyBorder="1" applyAlignment="1"/>
    <xf numFmtId="17" fontId="1" fillId="36" borderId="0" xfId="501" applyNumberFormat="1" applyFill="1"/>
    <xf numFmtId="0" fontId="1" fillId="36" borderId="28" xfId="501" applyFont="1" applyFill="1" applyBorder="1" applyAlignment="1">
      <alignment horizontal="center"/>
    </xf>
    <xf numFmtId="0" fontId="80" fillId="36" borderId="28" xfId="501" applyFont="1" applyFill="1" applyBorder="1" applyAlignment="1">
      <alignment horizontal="center"/>
    </xf>
    <xf numFmtId="0" fontId="1" fillId="36" borderId="42" xfId="501" applyFont="1" applyFill="1" applyBorder="1" applyAlignment="1">
      <alignment horizontal="center"/>
    </xf>
    <xf numFmtId="0" fontId="1" fillId="36" borderId="43" xfId="501" applyFont="1" applyFill="1" applyBorder="1" applyAlignment="1">
      <alignment horizontal="center"/>
    </xf>
    <xf numFmtId="0" fontId="3" fillId="36" borderId="28" xfId="501" applyFont="1" applyFill="1" applyBorder="1" applyAlignment="1">
      <alignment horizontal="center"/>
    </xf>
    <xf numFmtId="0" fontId="1" fillId="36" borderId="28" xfId="501" applyFont="1" applyFill="1" applyBorder="1"/>
    <xf numFmtId="187" fontId="80" fillId="36" borderId="28" xfId="974" applyNumberFormat="1" applyFont="1" applyFill="1" applyBorder="1" applyAlignment="1" applyProtection="1"/>
    <xf numFmtId="187" fontId="1" fillId="36" borderId="42" xfId="974" applyNumberFormat="1" applyFont="1" applyFill="1" applyBorder="1" applyAlignment="1" applyProtection="1"/>
    <xf numFmtId="187" fontId="1" fillId="36" borderId="43" xfId="974" applyNumberFormat="1" applyFont="1" applyFill="1" applyBorder="1" applyAlignment="1" applyProtection="1"/>
    <xf numFmtId="188" fontId="1" fillId="36" borderId="28" xfId="974" applyNumberFormat="1" applyFont="1" applyFill="1" applyBorder="1" applyAlignment="1" applyProtection="1"/>
    <xf numFmtId="0" fontId="1" fillId="36" borderId="0" xfId="501" applyFont="1" applyFill="1" applyBorder="1"/>
    <xf numFmtId="187" fontId="1" fillId="36" borderId="0" xfId="974" applyNumberFormat="1" applyFont="1" applyFill="1" applyBorder="1" applyAlignment="1" applyProtection="1"/>
    <xf numFmtId="189" fontId="1" fillId="36" borderId="0" xfId="974" applyNumberFormat="1" applyFont="1" applyFill="1" applyBorder="1" applyAlignment="1" applyProtection="1"/>
    <xf numFmtId="188" fontId="1" fillId="36" borderId="0" xfId="974" applyNumberFormat="1" applyFont="1" applyFill="1" applyBorder="1" applyAlignment="1" applyProtection="1"/>
    <xf numFmtId="0" fontId="2" fillId="36" borderId="49" xfId="501" applyFont="1" applyFill="1" applyBorder="1"/>
    <xf numFmtId="187" fontId="2" fillId="36" borderId="50" xfId="974" applyNumberFormat="1" applyFont="1" applyFill="1" applyBorder="1" applyAlignment="1" applyProtection="1"/>
    <xf numFmtId="188" fontId="2" fillId="36" borderId="27" xfId="974" applyNumberFormat="1" applyFont="1" applyFill="1" applyBorder="1" applyAlignment="1" applyProtection="1"/>
    <xf numFmtId="0" fontId="2" fillId="36" borderId="0" xfId="501" applyFont="1" applyFill="1" applyBorder="1"/>
    <xf numFmtId="187" fontId="2" fillId="36" borderId="0" xfId="974" applyNumberFormat="1" applyFont="1" applyFill="1" applyBorder="1" applyAlignment="1" applyProtection="1"/>
    <xf numFmtId="188" fontId="2" fillId="36" borderId="0" xfId="974" applyNumberFormat="1" applyFont="1" applyFill="1" applyBorder="1" applyAlignment="1" applyProtection="1"/>
    <xf numFmtId="167" fontId="2" fillId="36" borderId="27" xfId="292" applyFont="1" applyFill="1" applyBorder="1" applyAlignment="1" applyProtection="1"/>
    <xf numFmtId="0" fontId="1" fillId="36" borderId="0" xfId="501" applyFont="1" applyFill="1"/>
    <xf numFmtId="0" fontId="58" fillId="36" borderId="24" xfId="416" quotePrefix="1" applyFont="1" applyFill="1" applyBorder="1" applyAlignment="1">
      <alignment horizontal="center" vertical="center"/>
    </xf>
    <xf numFmtId="0" fontId="58" fillId="36" borderId="0" xfId="0" applyFont="1" applyFill="1" applyBorder="1" applyAlignment="1">
      <alignment vertical="center"/>
    </xf>
    <xf numFmtId="0" fontId="86" fillId="43" borderId="101" xfId="0" applyNumberFormat="1" applyFont="1" applyFill="1" applyBorder="1" applyAlignment="1" applyProtection="1">
      <alignment horizontal="left" vertical="top" wrapText="1" readingOrder="1"/>
    </xf>
    <xf numFmtId="0" fontId="86" fillId="43" borderId="102" xfId="0" applyNumberFormat="1" applyFont="1" applyFill="1" applyBorder="1" applyAlignment="1" applyProtection="1">
      <alignment horizontal="left" vertical="top" readingOrder="1"/>
    </xf>
    <xf numFmtId="0" fontId="1" fillId="43" borderId="120" xfId="0" applyNumberFormat="1" applyFont="1" applyFill="1" applyBorder="1" applyAlignment="1" applyProtection="1">
      <alignment vertical="top"/>
    </xf>
    <xf numFmtId="0" fontId="1" fillId="43" borderId="117" xfId="0" applyNumberFormat="1" applyFont="1" applyFill="1" applyBorder="1" applyAlignment="1" applyProtection="1">
      <alignment vertical="top"/>
    </xf>
    <xf numFmtId="0" fontId="1" fillId="43" borderId="118" xfId="0" applyNumberFormat="1" applyFont="1" applyFill="1" applyBorder="1" applyAlignment="1" applyProtection="1">
      <alignment vertical="top"/>
    </xf>
    <xf numFmtId="0" fontId="1" fillId="43" borderId="107" xfId="0" applyNumberFormat="1" applyFont="1" applyFill="1" applyBorder="1" applyAlignment="1" applyProtection="1">
      <alignment vertical="top"/>
    </xf>
    <xf numFmtId="0" fontId="1" fillId="43" borderId="108" xfId="0" applyNumberFormat="1" applyFont="1" applyFill="1" applyBorder="1" applyAlignment="1" applyProtection="1">
      <alignment vertical="top"/>
    </xf>
    <xf numFmtId="0" fontId="88" fillId="43" borderId="108" xfId="0" applyNumberFormat="1" applyFont="1" applyFill="1" applyBorder="1" applyAlignment="1" applyProtection="1">
      <alignment horizontal="left" vertical="center" readingOrder="1"/>
    </xf>
    <xf numFmtId="0" fontId="1" fillId="43" borderId="109" xfId="0" applyNumberFormat="1" applyFont="1" applyFill="1" applyBorder="1" applyAlignment="1" applyProtection="1">
      <alignment vertical="top"/>
    </xf>
    <xf numFmtId="0" fontId="1" fillId="43" borderId="121" xfId="0" applyNumberFormat="1" applyFont="1" applyFill="1" applyBorder="1" applyAlignment="1" applyProtection="1">
      <alignment vertical="top"/>
    </xf>
    <xf numFmtId="0" fontId="1" fillId="43" borderId="0" xfId="0" applyFont="1" applyFill="1" applyBorder="1"/>
    <xf numFmtId="0" fontId="1" fillId="43" borderId="0" xfId="0" applyFont="1" applyFill="1" applyBorder="1" applyAlignment="1">
      <alignment wrapText="1" readingOrder="1"/>
    </xf>
    <xf numFmtId="0" fontId="1" fillId="43" borderId="119" xfId="0" applyNumberFormat="1" applyFont="1" applyFill="1" applyBorder="1" applyAlignment="1" applyProtection="1">
      <alignment vertical="top"/>
    </xf>
    <xf numFmtId="0" fontId="1" fillId="43" borderId="108" xfId="0" applyNumberFormat="1" applyFont="1" applyFill="1" applyBorder="1" applyAlignment="1" applyProtection="1">
      <alignment vertical="top" wrapText="1" readingOrder="1"/>
    </xf>
    <xf numFmtId="10" fontId="67" fillId="36" borderId="0" xfId="1091" applyNumberFormat="1" applyFont="1" applyFill="1" applyBorder="1" applyAlignment="1">
      <alignment horizontal="center" vertical="center"/>
    </xf>
    <xf numFmtId="0" fontId="67" fillId="36" borderId="0" xfId="416" applyFont="1" applyFill="1" applyBorder="1" applyAlignment="1">
      <alignment vertical="center"/>
    </xf>
    <xf numFmtId="0" fontId="57" fillId="36" borderId="24" xfId="0" applyFont="1" applyFill="1" applyBorder="1" applyAlignment="1">
      <alignment horizontal="left" vertical="center"/>
    </xf>
    <xf numFmtId="0" fontId="57" fillId="36" borderId="22" xfId="0" applyFont="1" applyFill="1" applyBorder="1" applyAlignment="1">
      <alignment horizontal="center" vertical="center"/>
    </xf>
    <xf numFmtId="0" fontId="58" fillId="36" borderId="34" xfId="0" applyFont="1" applyFill="1" applyBorder="1" applyAlignment="1">
      <alignment horizontal="center" vertical="center" wrapText="1"/>
    </xf>
    <xf numFmtId="0" fontId="58" fillId="36" borderId="24" xfId="0" applyFont="1" applyFill="1" applyBorder="1" applyAlignment="1">
      <alignment horizontal="left" vertical="center"/>
    </xf>
    <xf numFmtId="0" fontId="58" fillId="36" borderId="34" xfId="0" applyFont="1" applyFill="1" applyBorder="1" applyAlignment="1">
      <alignment horizontal="center" vertical="center"/>
    </xf>
    <xf numFmtId="0" fontId="58" fillId="36" borderId="24" xfId="0" applyFont="1" applyFill="1" applyBorder="1" applyAlignment="1">
      <alignment horizontal="center" vertical="center"/>
    </xf>
    <xf numFmtId="0" fontId="57" fillId="36" borderId="59" xfId="416" applyFont="1" applyFill="1" applyBorder="1" applyAlignment="1">
      <alignment horizontal="center" vertical="center"/>
    </xf>
    <xf numFmtId="0" fontId="57" fillId="36" borderId="22" xfId="416" applyFont="1" applyFill="1" applyBorder="1" applyAlignment="1">
      <alignment horizontal="center" vertical="center"/>
    </xf>
    <xf numFmtId="0" fontId="57" fillId="36" borderId="22" xfId="416" applyFont="1" applyFill="1" applyBorder="1" applyAlignment="1">
      <alignment vertical="center"/>
    </xf>
    <xf numFmtId="169" fontId="58" fillId="36" borderId="64" xfId="416" applyNumberFormat="1" applyFont="1" applyFill="1" applyBorder="1" applyAlignment="1">
      <alignment horizontal="right" vertical="center"/>
    </xf>
    <xf numFmtId="0" fontId="75" fillId="36" borderId="37" xfId="279" applyFont="1" applyFill="1" applyBorder="1" applyAlignment="1" applyProtection="1"/>
    <xf numFmtId="0" fontId="57" fillId="36" borderId="37" xfId="416" applyFont="1" applyFill="1" applyBorder="1" applyAlignment="1">
      <alignment vertical="center"/>
    </xf>
    <xf numFmtId="0" fontId="57" fillId="36" borderId="34" xfId="0" applyFont="1" applyFill="1" applyBorder="1" applyAlignment="1">
      <alignment horizontal="center" vertical="center" wrapText="1"/>
    </xf>
    <xf numFmtId="4" fontId="73" fillId="36" borderId="35" xfId="0" applyNumberFormat="1" applyFont="1" applyFill="1" applyBorder="1" applyAlignment="1">
      <alignment horizontal="center" vertical="center"/>
    </xf>
    <xf numFmtId="0" fontId="57" fillId="36" borderId="59" xfId="0" applyFont="1" applyFill="1" applyBorder="1" applyAlignment="1">
      <alignment horizontal="center" vertical="center"/>
    </xf>
    <xf numFmtId="169" fontId="58" fillId="36" borderId="64" xfId="0" applyNumberFormat="1" applyFont="1" applyFill="1" applyBorder="1" applyAlignment="1">
      <alignment horizontal="right" vertical="center"/>
    </xf>
    <xf numFmtId="4" fontId="57" fillId="36" borderId="21" xfId="0" applyNumberFormat="1" applyFont="1" applyFill="1" applyBorder="1" applyAlignment="1">
      <alignment horizontal="center" vertical="center"/>
    </xf>
    <xf numFmtId="0" fontId="58" fillId="36" borderId="24" xfId="0" applyFont="1" applyFill="1" applyBorder="1" applyAlignment="1">
      <alignment horizontal="center" vertical="center"/>
    </xf>
    <xf numFmtId="0" fontId="89" fillId="43" borderId="118" xfId="0" applyNumberFormat="1" applyFont="1" applyFill="1" applyBorder="1" applyAlignment="1" applyProtection="1">
      <alignment horizontal="center" vertical="center" readingOrder="1"/>
    </xf>
    <xf numFmtId="0" fontId="89" fillId="43" borderId="119" xfId="0" applyNumberFormat="1" applyFont="1" applyFill="1" applyBorder="1" applyAlignment="1" applyProtection="1">
      <alignment horizontal="center" vertical="center" readingOrder="1"/>
    </xf>
    <xf numFmtId="0" fontId="89" fillId="43" borderId="109" xfId="0" applyNumberFormat="1" applyFont="1" applyFill="1" applyBorder="1" applyAlignment="1" applyProtection="1">
      <alignment horizontal="center" vertical="center" readingOrder="1"/>
    </xf>
    <xf numFmtId="0" fontId="86" fillId="43" borderId="100" xfId="0" applyNumberFormat="1" applyFont="1" applyFill="1" applyBorder="1" applyAlignment="1" applyProtection="1">
      <alignment horizontal="left" vertical="top" readingOrder="1"/>
    </xf>
    <xf numFmtId="0" fontId="86" fillId="43" borderId="101" xfId="0" applyNumberFormat="1" applyFont="1" applyFill="1" applyBorder="1" applyAlignment="1" applyProtection="1">
      <alignment horizontal="left" vertical="top" readingOrder="1"/>
    </xf>
    <xf numFmtId="0" fontId="91" fillId="43" borderId="101" xfId="315" applyFont="1" applyFill="1" applyBorder="1" applyAlignment="1">
      <alignment horizontal="left" vertical="top" wrapText="1" readingOrder="1"/>
    </xf>
    <xf numFmtId="0" fontId="91" fillId="43" borderId="101" xfId="315" applyFont="1" applyFill="1" applyBorder="1" applyAlignment="1">
      <alignment horizontal="left" vertical="top" readingOrder="1"/>
    </xf>
    <xf numFmtId="0" fontId="91" fillId="43" borderId="102" xfId="315" applyFont="1" applyFill="1" applyBorder="1" applyAlignment="1">
      <alignment horizontal="left" vertical="top" readingOrder="1"/>
    </xf>
    <xf numFmtId="0" fontId="58" fillId="36" borderId="0" xfId="315" applyFont="1" applyFill="1"/>
    <xf numFmtId="0" fontId="58" fillId="43" borderId="120" xfId="315" applyFont="1" applyFill="1" applyBorder="1" applyAlignment="1">
      <alignment vertical="top"/>
    </xf>
    <xf numFmtId="0" fontId="58" fillId="43" borderId="117" xfId="315" applyFont="1" applyFill="1" applyBorder="1" applyAlignment="1">
      <alignment vertical="top"/>
    </xf>
    <xf numFmtId="0" fontId="58" fillId="43" borderId="118" xfId="315" applyFont="1" applyFill="1" applyBorder="1" applyAlignment="1">
      <alignment vertical="top"/>
    </xf>
    <xf numFmtId="0" fontId="58" fillId="43" borderId="107" xfId="315" applyFont="1" applyFill="1" applyBorder="1" applyAlignment="1">
      <alignment vertical="top"/>
    </xf>
    <xf numFmtId="0" fontId="58" fillId="43" borderId="108" xfId="315" applyFont="1" applyFill="1" applyBorder="1" applyAlignment="1">
      <alignment vertical="top"/>
    </xf>
    <xf numFmtId="0" fontId="93" fillId="43" borderId="108" xfId="315" applyFont="1" applyFill="1" applyBorder="1" applyAlignment="1">
      <alignment horizontal="left" vertical="center" readingOrder="1"/>
    </xf>
    <xf numFmtId="0" fontId="58" fillId="43" borderId="109" xfId="315" applyFont="1" applyFill="1" applyBorder="1" applyAlignment="1">
      <alignment vertical="top"/>
    </xf>
    <xf numFmtId="0" fontId="1" fillId="43" borderId="120" xfId="315" applyFill="1" applyBorder="1" applyAlignment="1">
      <alignment vertical="top"/>
    </xf>
    <xf numFmtId="0" fontId="89" fillId="43" borderId="118" xfId="315" applyFont="1" applyFill="1" applyBorder="1" applyAlignment="1">
      <alignment horizontal="center" vertical="center" readingOrder="1"/>
    </xf>
    <xf numFmtId="0" fontId="1" fillId="43" borderId="121" xfId="315" applyFill="1" applyBorder="1" applyAlignment="1">
      <alignment vertical="top"/>
    </xf>
    <xf numFmtId="0" fontId="89" fillId="43" borderId="119" xfId="315" applyFont="1" applyFill="1" applyBorder="1" applyAlignment="1">
      <alignment horizontal="center" vertical="center" readingOrder="1"/>
    </xf>
    <xf numFmtId="0" fontId="1" fillId="43" borderId="107" xfId="315" applyFill="1" applyBorder="1" applyAlignment="1">
      <alignment vertical="top"/>
    </xf>
    <xf numFmtId="0" fontId="89" fillId="43" borderId="109" xfId="315" applyFont="1" applyFill="1" applyBorder="1" applyAlignment="1">
      <alignment horizontal="center" vertical="center" readingOrder="1"/>
    </xf>
    <xf numFmtId="0" fontId="58" fillId="43" borderId="121" xfId="315" applyFont="1" applyFill="1" applyBorder="1" applyAlignment="1">
      <alignment vertical="top"/>
    </xf>
    <xf numFmtId="0" fontId="58" fillId="43" borderId="0" xfId="315" applyFont="1" applyFill="1"/>
    <xf numFmtId="0" fontId="58" fillId="43" borderId="0" xfId="315" applyFont="1" applyFill="1" applyAlignment="1">
      <alignment wrapText="1" readingOrder="1"/>
    </xf>
    <xf numFmtId="0" fontId="58" fillId="43" borderId="119" xfId="315" applyFont="1" applyFill="1" applyBorder="1" applyAlignment="1">
      <alignment vertical="top"/>
    </xf>
    <xf numFmtId="0" fontId="58" fillId="43" borderId="108" xfId="315" applyFont="1" applyFill="1" applyBorder="1" applyAlignment="1">
      <alignment vertical="top" wrapText="1" readingOrder="1"/>
    </xf>
    <xf numFmtId="0" fontId="1" fillId="43" borderId="100" xfId="315" applyFill="1" applyBorder="1" applyAlignment="1">
      <alignment vertical="top"/>
    </xf>
    <xf numFmtId="165" fontId="58" fillId="36" borderId="0" xfId="1042" applyFont="1" applyFill="1"/>
    <xf numFmtId="10" fontId="58" fillId="36" borderId="0" xfId="582" applyNumberFormat="1" applyFont="1" applyFill="1"/>
    <xf numFmtId="0" fontId="91" fillId="43" borderId="100" xfId="315" applyFont="1" applyFill="1" applyBorder="1" applyAlignment="1">
      <alignment horizontal="left" vertical="top" readingOrder="1"/>
    </xf>
    <xf numFmtId="165" fontId="58" fillId="36" borderId="0" xfId="315" applyNumberFormat="1" applyFont="1" applyFill="1"/>
    <xf numFmtId="43" fontId="58" fillId="36" borderId="0" xfId="315" applyNumberFormat="1" applyFont="1" applyFill="1"/>
    <xf numFmtId="0" fontId="89" fillId="43" borderId="102" xfId="315" applyFont="1" applyFill="1" applyBorder="1" applyAlignment="1">
      <alignment horizontal="center" vertical="center" readingOrder="1"/>
    </xf>
    <xf numFmtId="0" fontId="94" fillId="43" borderId="118" xfId="315" applyFont="1" applyFill="1" applyBorder="1" applyAlignment="1">
      <alignment horizontal="center" vertical="center" readingOrder="1"/>
    </xf>
    <xf numFmtId="0" fontId="94" fillId="43" borderId="119" xfId="315" applyFont="1" applyFill="1" applyBorder="1" applyAlignment="1">
      <alignment horizontal="center" vertical="center" readingOrder="1"/>
    </xf>
    <xf numFmtId="0" fontId="94" fillId="43" borderId="109" xfId="315" applyFont="1" applyFill="1" applyBorder="1" applyAlignment="1">
      <alignment horizontal="center" vertical="center" readingOrder="1"/>
    </xf>
    <xf numFmtId="165" fontId="59" fillId="36" borderId="62" xfId="1042" applyFont="1" applyFill="1" applyBorder="1" applyAlignment="1">
      <alignment horizontal="center" vertical="center"/>
    </xf>
    <xf numFmtId="165" fontId="59" fillId="36" borderId="63" xfId="1042" applyFont="1" applyFill="1" applyBorder="1" applyAlignment="1">
      <alignment horizontal="center" vertical="center"/>
    </xf>
    <xf numFmtId="165" fontId="59" fillId="36" borderId="64" xfId="1042" applyFont="1" applyFill="1" applyBorder="1" applyAlignment="1">
      <alignment horizontal="center" vertical="center"/>
    </xf>
    <xf numFmtId="172" fontId="57" fillId="36" borderId="76" xfId="499" applyNumberFormat="1" applyFont="1" applyFill="1" applyBorder="1" applyAlignment="1">
      <alignment horizontal="left" vertical="center"/>
    </xf>
    <xf numFmtId="172" fontId="57" fillId="36" borderId="77" xfId="499" applyNumberFormat="1" applyFont="1" applyFill="1" applyBorder="1" applyAlignment="1">
      <alignment horizontal="left" vertical="center"/>
    </xf>
    <xf numFmtId="0" fontId="71" fillId="36" borderId="78" xfId="0" applyNumberFormat="1" applyFont="1" applyFill="1" applyBorder="1" applyAlignment="1">
      <alignment horizontal="left" vertical="center"/>
    </xf>
    <xf numFmtId="0" fontId="71" fillId="36" borderId="48" xfId="0" applyNumberFormat="1" applyFont="1" applyFill="1" applyBorder="1" applyAlignment="1">
      <alignment horizontal="left" vertical="center"/>
    </xf>
    <xf numFmtId="0" fontId="71" fillId="36" borderId="40" xfId="0" applyNumberFormat="1" applyFont="1" applyFill="1" applyBorder="1" applyAlignment="1">
      <alignment horizontal="left" vertical="center"/>
    </xf>
    <xf numFmtId="0" fontId="71" fillId="36" borderId="52" xfId="0" applyNumberFormat="1" applyFont="1" applyFill="1" applyBorder="1" applyAlignment="1">
      <alignment horizontal="left" vertical="center"/>
    </xf>
    <xf numFmtId="0" fontId="71" fillId="36" borderId="79" xfId="0" applyNumberFormat="1" applyFont="1" applyFill="1" applyBorder="1" applyAlignment="1">
      <alignment horizontal="left" vertical="center"/>
    </xf>
    <xf numFmtId="0" fontId="71" fillId="36" borderId="46" xfId="0" applyNumberFormat="1" applyFont="1" applyFill="1" applyBorder="1" applyAlignment="1">
      <alignment horizontal="left" vertical="center"/>
    </xf>
    <xf numFmtId="0" fontId="58" fillId="36" borderId="61" xfId="0" applyNumberFormat="1" applyFont="1" applyFill="1" applyBorder="1" applyAlignment="1">
      <alignment horizontal="left" vertical="center"/>
    </xf>
    <xf numFmtId="0" fontId="58" fillId="36" borderId="27" xfId="0" applyNumberFormat="1" applyFont="1" applyFill="1" applyBorder="1" applyAlignment="1">
      <alignment horizontal="left" vertical="center"/>
    </xf>
    <xf numFmtId="0" fontId="57" fillId="36" borderId="24" xfId="0" applyNumberFormat="1" applyFont="1" applyFill="1" applyBorder="1" applyAlignment="1">
      <alignment horizontal="left" vertical="center"/>
    </xf>
    <xf numFmtId="0" fontId="57" fillId="36" borderId="35" xfId="0" applyNumberFormat="1" applyFont="1" applyFill="1" applyBorder="1" applyAlignment="1">
      <alignment horizontal="left" vertical="center"/>
    </xf>
    <xf numFmtId="0" fontId="81" fillId="36" borderId="80" xfId="0" applyFont="1" applyFill="1" applyBorder="1" applyAlignment="1">
      <alignment horizontal="left" vertical="center"/>
    </xf>
    <xf numFmtId="0" fontId="81" fillId="36" borderId="59" xfId="0" applyFont="1" applyFill="1" applyBorder="1" applyAlignment="1">
      <alignment horizontal="left" vertical="center"/>
    </xf>
    <xf numFmtId="0" fontId="57" fillId="36" borderId="25" xfId="0" applyFont="1" applyFill="1" applyBorder="1" applyAlignment="1">
      <alignment horizontal="left" vertical="center" wrapText="1"/>
    </xf>
    <xf numFmtId="0" fontId="57" fillId="36" borderId="66" xfId="0" applyFont="1" applyFill="1" applyBorder="1" applyAlignment="1">
      <alignment horizontal="left" vertical="center" wrapText="1"/>
    </xf>
    <xf numFmtId="0" fontId="57" fillId="36" borderId="44" xfId="0" applyFont="1" applyFill="1" applyBorder="1" applyAlignment="1">
      <alignment horizontal="left" vertical="center" wrapText="1"/>
    </xf>
    <xf numFmtId="0" fontId="57" fillId="36" borderId="67" xfId="0" applyFont="1" applyFill="1" applyBorder="1" applyAlignment="1">
      <alignment horizontal="left" vertical="center" wrapText="1"/>
    </xf>
    <xf numFmtId="0" fontId="59" fillId="36" borderId="80" xfId="0" applyFont="1" applyFill="1" applyBorder="1" applyAlignment="1">
      <alignment horizontal="center" vertical="center"/>
    </xf>
    <xf numFmtId="0" fontId="58" fillId="36" borderId="81" xfId="0" applyFont="1" applyFill="1" applyBorder="1" applyAlignment="1">
      <alignment horizontal="center" vertical="center"/>
    </xf>
    <xf numFmtId="0" fontId="58" fillId="36" borderId="59" xfId="0" applyFont="1" applyFill="1" applyBorder="1" applyAlignment="1">
      <alignment horizontal="center" vertical="center"/>
    </xf>
    <xf numFmtId="0" fontId="59" fillId="36" borderId="21" xfId="0" applyFont="1" applyFill="1" applyBorder="1" applyAlignment="1">
      <alignment horizontal="left" vertical="center" wrapText="1"/>
    </xf>
    <xf numFmtId="0" fontId="58" fillId="36" borderId="60" xfId="0" applyFont="1" applyFill="1" applyBorder="1" applyAlignment="1">
      <alignment horizontal="left" vertical="center" wrapText="1"/>
    </xf>
    <xf numFmtId="0" fontId="58" fillId="36" borderId="22" xfId="0" applyFont="1" applyFill="1" applyBorder="1" applyAlignment="1">
      <alignment horizontal="left" vertical="center" wrapText="1"/>
    </xf>
    <xf numFmtId="0" fontId="59" fillId="36" borderId="21" xfId="0" applyFont="1" applyFill="1" applyBorder="1" applyAlignment="1">
      <alignment horizontal="left" vertical="center"/>
    </xf>
    <xf numFmtId="0" fontId="58" fillId="36" borderId="60" xfId="0" applyFont="1" applyFill="1" applyBorder="1" applyAlignment="1">
      <alignment horizontal="left" vertical="center"/>
    </xf>
    <xf numFmtId="0" fontId="58" fillId="36" borderId="22" xfId="0" applyFont="1" applyFill="1" applyBorder="1" applyAlignment="1">
      <alignment horizontal="left" vertical="center"/>
    </xf>
    <xf numFmtId="0" fontId="79" fillId="36" borderId="82" xfId="0" applyNumberFormat="1" applyFont="1" applyFill="1" applyBorder="1" applyAlignment="1">
      <alignment horizontal="center" vertical="center"/>
    </xf>
    <xf numFmtId="0" fontId="79" fillId="36" borderId="68" xfId="0" applyNumberFormat="1" applyFont="1" applyFill="1" applyBorder="1" applyAlignment="1">
      <alignment horizontal="center" vertical="center"/>
    </xf>
    <xf numFmtId="0" fontId="79" fillId="36" borderId="69" xfId="0" applyNumberFormat="1" applyFont="1" applyFill="1" applyBorder="1" applyAlignment="1">
      <alignment horizontal="center" vertical="center"/>
    </xf>
    <xf numFmtId="0" fontId="79" fillId="36" borderId="34" xfId="0" applyNumberFormat="1" applyFont="1" applyFill="1" applyBorder="1" applyAlignment="1">
      <alignment horizontal="center" vertical="center"/>
    </xf>
    <xf numFmtId="0" fontId="79" fillId="36" borderId="24" xfId="0" applyNumberFormat="1" applyFont="1" applyFill="1" applyBorder="1" applyAlignment="1">
      <alignment horizontal="center" vertical="center"/>
    </xf>
    <xf numFmtId="0" fontId="79" fillId="36" borderId="35" xfId="0" applyNumberFormat="1" applyFont="1" applyFill="1" applyBorder="1" applyAlignment="1">
      <alignment horizontal="center" vertical="center"/>
    </xf>
    <xf numFmtId="0" fontId="57" fillId="36" borderId="50" xfId="0" applyFont="1" applyFill="1" applyBorder="1" applyAlignment="1">
      <alignment horizontal="right" vertical="center"/>
    </xf>
    <xf numFmtId="0" fontId="60" fillId="36" borderId="78" xfId="0" applyNumberFormat="1" applyFont="1" applyFill="1" applyBorder="1" applyAlignment="1">
      <alignment horizontal="center" vertical="center"/>
    </xf>
    <xf numFmtId="0" fontId="60" fillId="36" borderId="40" xfId="0" applyNumberFormat="1" applyFont="1" applyFill="1" applyBorder="1" applyAlignment="1">
      <alignment horizontal="center" vertical="center"/>
    </xf>
    <xf numFmtId="0" fontId="60" fillId="36" borderId="79" xfId="0" applyNumberFormat="1" applyFont="1" applyFill="1" applyBorder="1" applyAlignment="1">
      <alignment horizontal="center" vertical="center"/>
    </xf>
    <xf numFmtId="0" fontId="59" fillId="36" borderId="60" xfId="0" applyFont="1" applyFill="1" applyBorder="1" applyAlignment="1">
      <alignment horizontal="left" vertical="center"/>
    </xf>
    <xf numFmtId="0" fontId="59" fillId="36" borderId="22" xfId="0" applyFont="1" applyFill="1" applyBorder="1" applyAlignment="1">
      <alignment horizontal="left" vertical="center"/>
    </xf>
    <xf numFmtId="0" fontId="58" fillId="36" borderId="21" xfId="0" applyFont="1" applyFill="1" applyBorder="1" applyAlignment="1">
      <alignment horizontal="left" vertical="center"/>
    </xf>
    <xf numFmtId="4" fontId="76" fillId="36" borderId="63" xfId="0" applyNumberFormat="1" applyFont="1" applyFill="1" applyBorder="1" applyAlignment="1">
      <alignment horizontal="center" vertical="top"/>
    </xf>
    <xf numFmtId="4" fontId="76" fillId="36" borderId="64" xfId="0" applyNumberFormat="1" applyFont="1" applyFill="1" applyBorder="1" applyAlignment="1">
      <alignment horizontal="center" vertical="top"/>
    </xf>
    <xf numFmtId="4" fontId="76" fillId="36" borderId="69" xfId="0" applyNumberFormat="1" applyFont="1" applyFill="1" applyBorder="1" applyAlignment="1">
      <alignment horizontal="center" vertical="center"/>
    </xf>
    <xf numFmtId="4" fontId="76" fillId="36" borderId="62" xfId="0" applyNumberFormat="1" applyFont="1" applyFill="1" applyBorder="1" applyAlignment="1">
      <alignment horizontal="center" vertical="center"/>
    </xf>
    <xf numFmtId="0" fontId="71" fillId="36" borderId="82" xfId="0" applyFont="1" applyFill="1" applyBorder="1" applyAlignment="1">
      <alignment horizontal="center" vertical="center" wrapText="1"/>
    </xf>
    <xf numFmtId="0" fontId="71" fillId="36" borderId="68" xfId="0" applyFont="1" applyFill="1" applyBorder="1" applyAlignment="1">
      <alignment horizontal="center" vertical="center" wrapText="1"/>
    </xf>
    <xf numFmtId="0" fontId="60" fillId="36" borderId="34" xfId="0" applyFont="1" applyFill="1" applyBorder="1" applyAlignment="1">
      <alignment horizontal="left" vertical="center" wrapText="1"/>
    </xf>
    <xf numFmtId="0" fontId="60" fillId="36" borderId="24" xfId="0" applyFont="1" applyFill="1" applyBorder="1" applyAlignment="1">
      <alignment horizontal="left" vertical="center" wrapText="1"/>
    </xf>
    <xf numFmtId="0" fontId="57" fillId="36" borderId="24" xfId="0" applyFont="1" applyFill="1" applyBorder="1" applyAlignment="1">
      <alignment horizontal="left" vertical="center"/>
    </xf>
    <xf numFmtId="0" fontId="60" fillId="36" borderId="49" xfId="0" applyFont="1" applyFill="1" applyBorder="1" applyAlignment="1">
      <alignment horizontal="left" vertical="center" wrapText="1"/>
    </xf>
    <xf numFmtId="0" fontId="60" fillId="36" borderId="50" xfId="0" applyFont="1" applyFill="1" applyBorder="1" applyAlignment="1">
      <alignment horizontal="left" vertical="center" wrapText="1"/>
    </xf>
    <xf numFmtId="0" fontId="60" fillId="36" borderId="27" xfId="0" applyFont="1" applyFill="1" applyBorder="1" applyAlignment="1">
      <alignment horizontal="left" vertical="center" wrapText="1"/>
    </xf>
    <xf numFmtId="0" fontId="60" fillId="36" borderId="25" xfId="0" applyFont="1" applyFill="1" applyBorder="1" applyAlignment="1">
      <alignment horizontal="left" vertical="center" wrapText="1"/>
    </xf>
    <xf numFmtId="0" fontId="60" fillId="36" borderId="26" xfId="0" applyFont="1" applyFill="1" applyBorder="1" applyAlignment="1">
      <alignment horizontal="left" vertical="center" wrapText="1"/>
    </xf>
    <xf numFmtId="0" fontId="60" fillId="36" borderId="48" xfId="0" applyFont="1" applyFill="1" applyBorder="1" applyAlignment="1">
      <alignment horizontal="left" vertical="center" wrapText="1"/>
    </xf>
    <xf numFmtId="0" fontId="60" fillId="36" borderId="44" xfId="0" applyFont="1" applyFill="1" applyBorder="1" applyAlignment="1">
      <alignment horizontal="left" vertical="center" wrapText="1"/>
    </xf>
    <xf numFmtId="0" fontId="60" fillId="36" borderId="47" xfId="0" applyFont="1" applyFill="1" applyBorder="1" applyAlignment="1">
      <alignment horizontal="left" vertical="center" wrapText="1"/>
    </xf>
    <xf numFmtId="0" fontId="60" fillId="36" borderId="46" xfId="0" applyFont="1" applyFill="1" applyBorder="1" applyAlignment="1">
      <alignment horizontal="left" vertical="center" wrapText="1"/>
    </xf>
    <xf numFmtId="0" fontId="60" fillId="36" borderId="78" xfId="0" applyFont="1" applyFill="1" applyBorder="1" applyAlignment="1">
      <alignment horizontal="left" vertical="center" wrapText="1"/>
    </xf>
    <xf numFmtId="0" fontId="60" fillId="36" borderId="79" xfId="0" applyFont="1" applyFill="1" applyBorder="1" applyAlignment="1">
      <alignment horizontal="left" vertical="center" wrapText="1"/>
    </xf>
    <xf numFmtId="4" fontId="57" fillId="36" borderId="60" xfId="0" applyNumberFormat="1" applyFont="1" applyFill="1" applyBorder="1" applyAlignment="1">
      <alignment horizontal="center" vertical="center"/>
    </xf>
    <xf numFmtId="4" fontId="57" fillId="36" borderId="22" xfId="0" applyNumberFormat="1" applyFont="1" applyFill="1" applyBorder="1" applyAlignment="1">
      <alignment horizontal="center" vertical="center"/>
    </xf>
    <xf numFmtId="169" fontId="58" fillId="36" borderId="0" xfId="0" applyNumberFormat="1" applyFont="1" applyFill="1" applyAlignment="1">
      <alignment horizontal="center" vertical="center"/>
    </xf>
    <xf numFmtId="0" fontId="71" fillId="36" borderId="49" xfId="0" applyFont="1" applyFill="1" applyBorder="1" applyAlignment="1">
      <alignment horizontal="left" vertical="center" wrapText="1"/>
    </xf>
    <xf numFmtId="0" fontId="71" fillId="36" borderId="50" xfId="0" applyFont="1" applyFill="1" applyBorder="1" applyAlignment="1">
      <alignment horizontal="left" vertical="center" wrapText="1"/>
    </xf>
    <xf numFmtId="0" fontId="71" fillId="36" borderId="27" xfId="0" applyFont="1" applyFill="1" applyBorder="1" applyAlignment="1">
      <alignment horizontal="left" vertical="center" wrapText="1"/>
    </xf>
    <xf numFmtId="0" fontId="71" fillId="36" borderId="25" xfId="0" applyFont="1" applyFill="1" applyBorder="1" applyAlignment="1">
      <alignment horizontal="center" vertical="center" wrapText="1"/>
    </xf>
    <xf numFmtId="0" fontId="71" fillId="36" borderId="26" xfId="0" applyFont="1" applyFill="1" applyBorder="1" applyAlignment="1">
      <alignment horizontal="center" vertical="center" wrapText="1"/>
    </xf>
    <xf numFmtId="0" fontId="71" fillId="36" borderId="48" xfId="0" applyFont="1" applyFill="1" applyBorder="1" applyAlignment="1">
      <alignment horizontal="center" vertical="center" wrapText="1"/>
    </xf>
    <xf numFmtId="0" fontId="71" fillId="36" borderId="51" xfId="0" applyFont="1" applyFill="1" applyBorder="1" applyAlignment="1">
      <alignment horizontal="center" vertical="center" wrapText="1"/>
    </xf>
    <xf numFmtId="0" fontId="71" fillId="36" borderId="0" xfId="0" applyFont="1" applyFill="1" applyBorder="1" applyAlignment="1">
      <alignment horizontal="center" vertical="center" wrapText="1"/>
    </xf>
    <xf numFmtId="0" fontId="71" fillId="36" borderId="52" xfId="0" applyFont="1" applyFill="1" applyBorder="1" applyAlignment="1">
      <alignment horizontal="center" vertical="center" wrapText="1"/>
    </xf>
    <xf numFmtId="0" fontId="71" fillId="36" borderId="44" xfId="0" applyFont="1" applyFill="1" applyBorder="1" applyAlignment="1">
      <alignment horizontal="center" vertical="center" wrapText="1"/>
    </xf>
    <xf numFmtId="0" fontId="71" fillId="36" borderId="47" xfId="0" applyFont="1" applyFill="1" applyBorder="1" applyAlignment="1">
      <alignment horizontal="center" vertical="center" wrapText="1"/>
    </xf>
    <xf numFmtId="0" fontId="71" fillId="36" borderId="46" xfId="0" applyFont="1" applyFill="1" applyBorder="1" applyAlignment="1">
      <alignment horizontal="center" vertical="center" wrapText="1"/>
    </xf>
    <xf numFmtId="0" fontId="57" fillId="36" borderId="25" xfId="0" applyFont="1" applyFill="1" applyBorder="1" applyAlignment="1">
      <alignment horizontal="center" vertical="center" wrapText="1"/>
    </xf>
    <xf numFmtId="0" fontId="57" fillId="36" borderId="26" xfId="0" applyFont="1" applyFill="1" applyBorder="1" applyAlignment="1">
      <alignment horizontal="center" vertical="center" wrapText="1"/>
    </xf>
    <xf numFmtId="0" fontId="57" fillId="36" borderId="44" xfId="0" applyFont="1" applyFill="1" applyBorder="1" applyAlignment="1">
      <alignment horizontal="center" vertical="center" wrapText="1"/>
    </xf>
    <xf numFmtId="0" fontId="57" fillId="36" borderId="47" xfId="0" applyFont="1" applyFill="1" applyBorder="1" applyAlignment="1">
      <alignment horizontal="center" vertical="center" wrapText="1"/>
    </xf>
    <xf numFmtId="0" fontId="79" fillId="36" borderId="49" xfId="0" applyFont="1" applyFill="1" applyBorder="1" applyAlignment="1">
      <alignment horizontal="center" vertical="center"/>
    </xf>
    <xf numFmtId="0" fontId="79" fillId="36" borderId="50" xfId="0" applyFont="1" applyFill="1" applyBorder="1" applyAlignment="1">
      <alignment horizontal="center" vertical="center"/>
    </xf>
    <xf numFmtId="0" fontId="79" fillId="36" borderId="27" xfId="0" applyFont="1" applyFill="1" applyBorder="1" applyAlignment="1">
      <alignment horizontal="center" vertical="center"/>
    </xf>
    <xf numFmtId="0" fontId="71" fillId="36" borderId="25" xfId="0" applyFont="1" applyFill="1" applyBorder="1" applyAlignment="1">
      <alignment horizontal="left" vertical="center" wrapText="1"/>
    </xf>
    <xf numFmtId="0" fontId="71" fillId="36" borderId="26" xfId="0" applyFont="1" applyFill="1" applyBorder="1" applyAlignment="1">
      <alignment horizontal="left" vertical="center" wrapText="1"/>
    </xf>
    <xf numFmtId="0" fontId="71" fillId="36" borderId="48" xfId="0" applyFont="1" applyFill="1" applyBorder="1" applyAlignment="1">
      <alignment horizontal="left" vertical="center" wrapText="1"/>
    </xf>
    <xf numFmtId="0" fontId="71" fillId="36" borderId="44" xfId="0" applyFont="1" applyFill="1" applyBorder="1" applyAlignment="1">
      <alignment horizontal="left" vertical="center" wrapText="1"/>
    </xf>
    <xf numFmtId="0" fontId="71" fillId="36" borderId="47" xfId="0" applyFont="1" applyFill="1" applyBorder="1" applyAlignment="1">
      <alignment horizontal="left" vertical="center" wrapText="1"/>
    </xf>
    <xf numFmtId="0" fontId="71" fillId="36" borderId="46" xfId="0" applyFont="1" applyFill="1" applyBorder="1" applyAlignment="1">
      <alignment horizontal="left" vertical="center" wrapText="1"/>
    </xf>
    <xf numFmtId="0" fontId="57" fillId="36" borderId="25" xfId="0" applyFont="1" applyFill="1" applyBorder="1" applyAlignment="1">
      <alignment horizontal="center" vertical="center"/>
    </xf>
    <xf numFmtId="0" fontId="57" fillId="36" borderId="26" xfId="0" applyFont="1" applyFill="1" applyBorder="1" applyAlignment="1">
      <alignment horizontal="center" vertical="center"/>
    </xf>
    <xf numFmtId="0" fontId="57" fillId="36" borderId="44" xfId="0" applyFont="1" applyFill="1" applyBorder="1" applyAlignment="1">
      <alignment horizontal="center" vertical="center"/>
    </xf>
    <xf numFmtId="0" fontId="57" fillId="36" borderId="47" xfId="0" applyFont="1" applyFill="1" applyBorder="1" applyAlignment="1">
      <alignment horizontal="center" vertical="center"/>
    </xf>
    <xf numFmtId="4" fontId="57" fillId="36" borderId="48" xfId="1042" applyNumberFormat="1" applyFont="1" applyFill="1" applyBorder="1" applyAlignment="1">
      <alignment horizontal="center" vertical="center" wrapText="1"/>
    </xf>
    <xf numFmtId="4" fontId="57" fillId="36" borderId="46" xfId="1042" applyNumberFormat="1" applyFont="1" applyFill="1" applyBorder="1" applyAlignment="1">
      <alignment horizontal="center" vertical="center" wrapText="1"/>
    </xf>
    <xf numFmtId="0" fontId="57" fillId="36" borderId="25" xfId="1042" applyNumberFormat="1" applyFont="1" applyFill="1" applyBorder="1" applyAlignment="1">
      <alignment horizontal="center" vertical="center" wrapText="1"/>
    </xf>
    <xf numFmtId="0" fontId="57" fillId="36" borderId="44" xfId="1042" applyNumberFormat="1" applyFont="1" applyFill="1" applyBorder="1" applyAlignment="1">
      <alignment horizontal="center" vertical="center" wrapText="1"/>
    </xf>
    <xf numFmtId="4" fontId="57" fillId="36" borderId="48" xfId="1042" applyNumberFormat="1" applyFont="1" applyFill="1" applyBorder="1" applyAlignment="1">
      <alignment horizontal="center" vertical="center"/>
    </xf>
    <xf numFmtId="4" fontId="57" fillId="36" borderId="46" xfId="1042" applyNumberFormat="1" applyFont="1" applyFill="1" applyBorder="1" applyAlignment="1">
      <alignment horizontal="center" vertical="center"/>
    </xf>
    <xf numFmtId="4" fontId="57" fillId="36" borderId="21" xfId="0" applyNumberFormat="1" applyFont="1" applyFill="1" applyBorder="1" applyAlignment="1">
      <alignment horizontal="center" vertical="center"/>
    </xf>
    <xf numFmtId="0" fontId="57" fillId="36" borderId="21" xfId="0" applyFont="1" applyFill="1" applyBorder="1" applyAlignment="1">
      <alignment horizontal="center" vertical="center"/>
    </xf>
    <xf numFmtId="0" fontId="57" fillId="36" borderId="22" xfId="0" applyFont="1" applyFill="1" applyBorder="1" applyAlignment="1">
      <alignment horizontal="center" vertical="center"/>
    </xf>
    <xf numFmtId="0" fontId="57" fillId="36" borderId="83" xfId="0" applyFont="1" applyFill="1" applyBorder="1" applyAlignment="1" applyProtection="1">
      <alignment horizontal="center" vertical="center"/>
    </xf>
    <xf numFmtId="0" fontId="57" fillId="36" borderId="55" xfId="0" applyFont="1" applyFill="1" applyBorder="1" applyAlignment="1" applyProtection="1">
      <alignment horizontal="center" vertical="center"/>
    </xf>
    <xf numFmtId="0" fontId="57" fillId="36" borderId="84" xfId="0" applyFont="1" applyFill="1" applyBorder="1" applyAlignment="1" applyProtection="1">
      <alignment horizontal="center" vertical="center"/>
    </xf>
    <xf numFmtId="0" fontId="58" fillId="36" borderId="25" xfId="0" applyFont="1" applyFill="1" applyBorder="1" applyAlignment="1">
      <alignment horizontal="center" vertical="center"/>
    </xf>
    <xf numFmtId="0" fontId="58" fillId="36" borderId="26" xfId="0" applyFont="1" applyFill="1" applyBorder="1" applyAlignment="1">
      <alignment horizontal="center" vertical="center"/>
    </xf>
    <xf numFmtId="0" fontId="58" fillId="36" borderId="48" xfId="0" applyFont="1" applyFill="1" applyBorder="1" applyAlignment="1">
      <alignment horizontal="center" vertical="center"/>
    </xf>
    <xf numFmtId="0" fontId="72" fillId="0" borderId="25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2" fillId="0" borderId="48" xfId="0" applyFont="1" applyBorder="1" applyAlignment="1">
      <alignment horizontal="center" vertical="center"/>
    </xf>
    <xf numFmtId="10" fontId="72" fillId="0" borderId="49" xfId="0" applyNumberFormat="1" applyFont="1" applyBorder="1" applyAlignment="1">
      <alignment horizontal="center" vertical="center"/>
    </xf>
    <xf numFmtId="10" fontId="72" fillId="0" borderId="50" xfId="0" applyNumberFormat="1" applyFont="1" applyBorder="1" applyAlignment="1">
      <alignment horizontal="center" vertical="center"/>
    </xf>
    <xf numFmtId="10" fontId="72" fillId="0" borderId="27" xfId="0" applyNumberFormat="1" applyFont="1" applyBorder="1" applyAlignment="1">
      <alignment horizontal="center" vertical="center"/>
    </xf>
    <xf numFmtId="0" fontId="72" fillId="0" borderId="44" xfId="0" applyFont="1" applyBorder="1" applyAlignment="1">
      <alignment horizontal="center" vertical="center"/>
    </xf>
    <xf numFmtId="0" fontId="72" fillId="0" borderId="47" xfId="0" applyFont="1" applyBorder="1" applyAlignment="1">
      <alignment horizontal="center" vertical="center"/>
    </xf>
    <xf numFmtId="0" fontId="72" fillId="0" borderId="46" xfId="0" applyFont="1" applyBorder="1" applyAlignment="1">
      <alignment horizontal="center" vertical="center"/>
    </xf>
    <xf numFmtId="9" fontId="72" fillId="0" borderId="49" xfId="0" applyNumberFormat="1" applyFont="1" applyBorder="1" applyAlignment="1">
      <alignment horizontal="left" vertical="center" indent="2"/>
    </xf>
    <xf numFmtId="9" fontId="72" fillId="0" borderId="27" xfId="0" applyNumberFormat="1" applyFont="1" applyBorder="1" applyAlignment="1">
      <alignment horizontal="left" vertical="center" indent="2"/>
    </xf>
    <xf numFmtId="165" fontId="72" fillId="0" borderId="49" xfId="1042" applyFont="1" applyBorder="1" applyAlignment="1">
      <alignment vertical="center"/>
    </xf>
    <xf numFmtId="165" fontId="72" fillId="0" borderId="50" xfId="1042" applyFont="1" applyBorder="1" applyAlignment="1">
      <alignment vertical="center"/>
    </xf>
    <xf numFmtId="165" fontId="72" fillId="0" borderId="27" xfId="1042" applyFont="1" applyBorder="1" applyAlignment="1">
      <alignment vertical="center"/>
    </xf>
    <xf numFmtId="9" fontId="72" fillId="0" borderId="44" xfId="0" applyNumberFormat="1" applyFont="1" applyBorder="1" applyAlignment="1">
      <alignment horizontal="left" vertical="center" indent="2"/>
    </xf>
    <xf numFmtId="9" fontId="72" fillId="0" borderId="46" xfId="0" applyNumberFormat="1" applyFont="1" applyBorder="1" applyAlignment="1">
      <alignment horizontal="left" vertical="center" indent="2"/>
    </xf>
    <xf numFmtId="9" fontId="72" fillId="0" borderId="44" xfId="0" applyNumberFormat="1" applyFont="1" applyBorder="1" applyAlignment="1">
      <alignment horizontal="center" vertical="center"/>
    </xf>
    <xf numFmtId="9" fontId="72" fillId="0" borderId="47" xfId="0" applyNumberFormat="1" applyFont="1" applyBorder="1" applyAlignment="1">
      <alignment horizontal="center" vertical="center"/>
    </xf>
    <xf numFmtId="9" fontId="72" fillId="0" borderId="46" xfId="0" applyNumberFormat="1" applyFont="1" applyBorder="1" applyAlignment="1">
      <alignment horizontal="center" vertical="center"/>
    </xf>
    <xf numFmtId="180" fontId="72" fillId="36" borderId="25" xfId="0" applyNumberFormat="1" applyFont="1" applyFill="1" applyBorder="1" applyAlignment="1">
      <alignment horizontal="center" vertical="center"/>
    </xf>
    <xf numFmtId="180" fontId="72" fillId="36" borderId="26" xfId="0" applyNumberFormat="1" applyFont="1" applyFill="1" applyBorder="1" applyAlignment="1">
      <alignment horizontal="center" vertical="center"/>
    </xf>
    <xf numFmtId="4" fontId="72" fillId="0" borderId="49" xfId="0" applyNumberFormat="1" applyFont="1" applyFill="1" applyBorder="1" applyAlignment="1">
      <alignment horizontal="center" vertical="center"/>
    </xf>
    <xf numFmtId="4" fontId="72" fillId="0" borderId="50" xfId="0" applyNumberFormat="1" applyFont="1" applyFill="1" applyBorder="1" applyAlignment="1">
      <alignment horizontal="center" vertical="center"/>
    </xf>
    <xf numFmtId="4" fontId="72" fillId="0" borderId="27" xfId="0" applyNumberFormat="1" applyFont="1" applyFill="1" applyBorder="1" applyAlignment="1">
      <alignment horizontal="center" vertical="center"/>
    </xf>
    <xf numFmtId="4" fontId="72" fillId="0" borderId="25" xfId="0" applyNumberFormat="1" applyFont="1" applyFill="1" applyBorder="1" applyAlignment="1">
      <alignment horizontal="center" vertical="center"/>
    </xf>
    <xf numFmtId="4" fontId="72" fillId="0" borderId="26" xfId="0" applyNumberFormat="1" applyFont="1" applyFill="1" applyBorder="1" applyAlignment="1">
      <alignment horizontal="center" vertical="center"/>
    </xf>
    <xf numFmtId="4" fontId="72" fillId="0" borderId="48" xfId="0" applyNumberFormat="1" applyFont="1" applyFill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72" fillId="0" borderId="60" xfId="0" applyFont="1" applyBorder="1" applyAlignment="1">
      <alignment horizontal="center" vertical="center"/>
    </xf>
    <xf numFmtId="0" fontId="72" fillId="0" borderId="25" xfId="0" applyFont="1" applyBorder="1" applyAlignment="1">
      <alignment horizontal="left" vertical="center" wrapText="1" indent="1"/>
    </xf>
    <xf numFmtId="0" fontId="72" fillId="0" borderId="48" xfId="0" applyFont="1" applyBorder="1" applyAlignment="1">
      <alignment horizontal="left" vertical="center" wrapText="1" indent="1"/>
    </xf>
    <xf numFmtId="0" fontId="72" fillId="0" borderId="51" xfId="0" applyFont="1" applyBorder="1" applyAlignment="1">
      <alignment horizontal="left" vertical="center" wrapText="1" indent="1"/>
    </xf>
    <xf numFmtId="0" fontId="72" fillId="0" borderId="52" xfId="0" applyFont="1" applyBorder="1" applyAlignment="1">
      <alignment horizontal="left" vertical="center" wrapText="1" indent="1"/>
    </xf>
    <xf numFmtId="2" fontId="72" fillId="0" borderId="21" xfId="0" applyNumberFormat="1" applyFont="1" applyBorder="1" applyAlignment="1">
      <alignment horizontal="center" vertical="center"/>
    </xf>
    <xf numFmtId="2" fontId="72" fillId="0" borderId="60" xfId="0" applyNumberFormat="1" applyFont="1" applyBorder="1" applyAlignment="1">
      <alignment horizontal="center" vertical="center"/>
    </xf>
    <xf numFmtId="39" fontId="72" fillId="0" borderId="21" xfId="1042" applyNumberFormat="1" applyFont="1" applyBorder="1" applyAlignment="1">
      <alignment horizontal="center" vertical="center"/>
    </xf>
    <xf numFmtId="39" fontId="72" fillId="0" borderId="60" xfId="1042" applyNumberFormat="1" applyFont="1" applyBorder="1" applyAlignment="1">
      <alignment horizontal="center" vertical="center"/>
    </xf>
    <xf numFmtId="39" fontId="72" fillId="0" borderId="22" xfId="1042" applyNumberFormat="1" applyFont="1" applyBorder="1" applyAlignment="1">
      <alignment horizontal="center" vertical="center"/>
    </xf>
    <xf numFmtId="0" fontId="72" fillId="0" borderId="25" xfId="0" applyFont="1" applyBorder="1" applyAlignment="1">
      <alignment horizontal="left" vertical="center" indent="1"/>
    </xf>
    <xf numFmtId="0" fontId="72" fillId="0" borderId="48" xfId="0" applyFont="1" applyBorder="1" applyAlignment="1">
      <alignment horizontal="left" vertical="center" indent="1"/>
    </xf>
    <xf numFmtId="0" fontId="72" fillId="0" borderId="51" xfId="0" applyFont="1" applyBorder="1" applyAlignment="1">
      <alignment horizontal="left" vertical="center" indent="1"/>
    </xf>
    <xf numFmtId="0" fontId="72" fillId="0" borderId="52" xfId="0" applyFont="1" applyBorder="1" applyAlignment="1">
      <alignment horizontal="left" vertical="center" indent="1"/>
    </xf>
    <xf numFmtId="180" fontId="72" fillId="0" borderId="49" xfId="0" applyNumberFormat="1" applyFont="1" applyBorder="1" applyAlignment="1">
      <alignment horizontal="center" vertical="center"/>
    </xf>
    <xf numFmtId="180" fontId="72" fillId="0" borderId="50" xfId="0" applyNumberFormat="1" applyFont="1" applyBorder="1" applyAlignment="1">
      <alignment horizontal="center" vertical="center"/>
    </xf>
    <xf numFmtId="180" fontId="72" fillId="0" borderId="27" xfId="0" applyNumberFormat="1" applyFont="1" applyBorder="1" applyAlignment="1">
      <alignment horizontal="center" vertical="center"/>
    </xf>
    <xf numFmtId="9" fontId="72" fillId="0" borderId="49" xfId="0" applyNumberFormat="1" applyFont="1" applyBorder="1" applyAlignment="1">
      <alignment horizontal="center" vertical="center"/>
    </xf>
    <xf numFmtId="9" fontId="72" fillId="0" borderId="50" xfId="0" applyNumberFormat="1" applyFont="1" applyBorder="1" applyAlignment="1">
      <alignment horizontal="center" vertical="center"/>
    </xf>
    <xf numFmtId="9" fontId="72" fillId="0" borderId="27" xfId="0" applyNumberFormat="1" applyFont="1" applyBorder="1" applyAlignment="1">
      <alignment horizontal="center" vertical="center"/>
    </xf>
    <xf numFmtId="2" fontId="72" fillId="0" borderId="24" xfId="0" applyNumberFormat="1" applyFont="1" applyBorder="1" applyAlignment="1">
      <alignment horizontal="center" vertical="center"/>
    </xf>
    <xf numFmtId="180" fontId="72" fillId="36" borderId="44" xfId="0" applyNumberFormat="1" applyFont="1" applyFill="1" applyBorder="1" applyAlignment="1">
      <alignment horizontal="center" vertical="center"/>
    </xf>
    <xf numFmtId="180" fontId="72" fillId="36" borderId="47" xfId="0" applyNumberFormat="1" applyFont="1" applyFill="1" applyBorder="1" applyAlignment="1">
      <alignment horizontal="center" vertical="center"/>
    </xf>
    <xf numFmtId="180" fontId="72" fillId="36" borderId="46" xfId="0" applyNumberFormat="1" applyFont="1" applyFill="1" applyBorder="1" applyAlignment="1">
      <alignment horizontal="center" vertical="center"/>
    </xf>
    <xf numFmtId="180" fontId="72" fillId="0" borderId="49" xfId="0" applyNumberFormat="1" applyFont="1" applyFill="1" applyBorder="1" applyAlignment="1">
      <alignment horizontal="center" vertical="center"/>
    </xf>
    <xf numFmtId="180" fontId="72" fillId="0" borderId="50" xfId="0" applyNumberFormat="1" applyFont="1" applyFill="1" applyBorder="1" applyAlignment="1">
      <alignment horizontal="center" vertical="center"/>
    </xf>
    <xf numFmtId="180" fontId="72" fillId="0" borderId="27" xfId="0" applyNumberFormat="1" applyFont="1" applyFill="1" applyBorder="1" applyAlignment="1">
      <alignment horizontal="center" vertical="center"/>
    </xf>
    <xf numFmtId="178" fontId="72" fillId="0" borderId="44" xfId="0" applyNumberFormat="1" applyFont="1" applyBorder="1" applyAlignment="1">
      <alignment horizontal="center" vertical="center"/>
    </xf>
    <xf numFmtId="178" fontId="72" fillId="0" borderId="47" xfId="0" applyNumberFormat="1" applyFont="1" applyBorder="1" applyAlignment="1">
      <alignment horizontal="center" vertical="center"/>
    </xf>
    <xf numFmtId="178" fontId="72" fillId="0" borderId="46" xfId="0" applyNumberFormat="1" applyFont="1" applyBorder="1" applyAlignment="1">
      <alignment horizontal="center" vertical="center"/>
    </xf>
    <xf numFmtId="0" fontId="72" fillId="34" borderId="49" xfId="0" applyFont="1" applyFill="1" applyBorder="1" applyAlignment="1">
      <alignment horizontal="center" vertical="center"/>
    </xf>
    <xf numFmtId="0" fontId="72" fillId="34" borderId="50" xfId="0" applyFont="1" applyFill="1" applyBorder="1" applyAlignment="1">
      <alignment horizontal="center" vertical="center"/>
    </xf>
    <xf numFmtId="0" fontId="72" fillId="34" borderId="27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71" fillId="0" borderId="48" xfId="0" applyFont="1" applyBorder="1" applyAlignment="1">
      <alignment horizontal="center" vertical="center" wrapText="1"/>
    </xf>
    <xf numFmtId="0" fontId="71" fillId="0" borderId="51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1" fillId="0" borderId="52" xfId="0" applyFont="1" applyBorder="1" applyAlignment="1">
      <alignment horizontal="center" vertical="center" wrapText="1"/>
    </xf>
    <xf numFmtId="0" fontId="71" fillId="0" borderId="44" xfId="0" applyFont="1" applyBorder="1" applyAlignment="1">
      <alignment horizontal="center" vertical="center" wrapText="1"/>
    </xf>
    <xf numFmtId="0" fontId="71" fillId="0" borderId="47" xfId="0" applyFont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48" xfId="0" applyFont="1" applyBorder="1" applyAlignment="1">
      <alignment horizontal="center" vertical="center"/>
    </xf>
    <xf numFmtId="0" fontId="71" fillId="0" borderId="51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52" xfId="0" applyFont="1" applyBorder="1" applyAlignment="1">
      <alignment horizontal="center" vertical="center"/>
    </xf>
    <xf numFmtId="0" fontId="71" fillId="0" borderId="44" xfId="0" applyFont="1" applyBorder="1" applyAlignment="1">
      <alignment horizontal="center" vertical="center"/>
    </xf>
    <xf numFmtId="0" fontId="71" fillId="0" borderId="47" xfId="0" applyFont="1" applyBorder="1" applyAlignment="1">
      <alignment horizontal="center" vertical="center"/>
    </xf>
    <xf numFmtId="0" fontId="71" fillId="0" borderId="46" xfId="0" applyFont="1" applyBorder="1" applyAlignment="1">
      <alignment horizontal="center" vertical="center"/>
    </xf>
    <xf numFmtId="0" fontId="79" fillId="0" borderId="49" xfId="0" applyFont="1" applyBorder="1" applyAlignment="1">
      <alignment horizontal="center" vertical="center"/>
    </xf>
    <xf numFmtId="0" fontId="79" fillId="0" borderId="50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1" fillId="0" borderId="25" xfId="0" applyFont="1" applyBorder="1" applyAlignment="1">
      <alignment horizontal="center" wrapText="1"/>
    </xf>
    <xf numFmtId="0" fontId="71" fillId="0" borderId="26" xfId="0" applyFont="1" applyBorder="1" applyAlignment="1">
      <alignment horizontal="center" wrapText="1"/>
    </xf>
    <xf numFmtId="0" fontId="71" fillId="0" borderId="48" xfId="0" applyFont="1" applyBorder="1" applyAlignment="1">
      <alignment horizontal="center" wrapText="1"/>
    </xf>
    <xf numFmtId="0" fontId="73" fillId="0" borderId="26" xfId="0" applyFont="1" applyBorder="1" applyAlignment="1">
      <alignment horizontal="center" vertical="center"/>
    </xf>
    <xf numFmtId="0" fontId="73" fillId="0" borderId="48" xfId="0" applyFont="1" applyBorder="1" applyAlignment="1">
      <alignment horizontal="center" vertical="center"/>
    </xf>
    <xf numFmtId="0" fontId="57" fillId="0" borderId="49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0" borderId="27" xfId="0" applyFont="1" applyBorder="1" applyAlignment="1">
      <alignment horizontal="center" vertical="center"/>
    </xf>
    <xf numFmtId="0" fontId="72" fillId="36" borderId="49" xfId="0" applyFont="1" applyFill="1" applyBorder="1" applyAlignment="1">
      <alignment horizontal="center" vertical="center"/>
    </xf>
    <xf numFmtId="0" fontId="72" fillId="36" borderId="50" xfId="0" applyFont="1" applyFill="1" applyBorder="1" applyAlignment="1">
      <alignment horizontal="center" vertical="center"/>
    </xf>
    <xf numFmtId="0" fontId="72" fillId="36" borderId="27" xfId="0" applyFont="1" applyFill="1" applyBorder="1" applyAlignment="1">
      <alignment horizontal="center" vertical="center"/>
    </xf>
    <xf numFmtId="0" fontId="58" fillId="36" borderId="34" xfId="0" applyFont="1" applyFill="1" applyBorder="1" applyAlignment="1">
      <alignment horizontal="center" vertical="center" wrapText="1"/>
    </xf>
    <xf numFmtId="0" fontId="58" fillId="36" borderId="36" xfId="0" applyFont="1" applyFill="1" applyBorder="1" applyAlignment="1">
      <alignment horizontal="center" vertical="center" wrapText="1"/>
    </xf>
    <xf numFmtId="0" fontId="58" fillId="36" borderId="85" xfId="0" applyFont="1" applyFill="1" applyBorder="1" applyAlignment="1">
      <alignment horizontal="center" vertical="center" wrapText="1"/>
    </xf>
    <xf numFmtId="0" fontId="58" fillId="36" borderId="60" xfId="0" applyFont="1" applyFill="1" applyBorder="1" applyAlignment="1">
      <alignment horizontal="center" vertical="center" wrapText="1"/>
    </xf>
    <xf numFmtId="0" fontId="58" fillId="36" borderId="22" xfId="0" applyFont="1" applyFill="1" applyBorder="1" applyAlignment="1">
      <alignment horizontal="center" vertical="center" wrapText="1"/>
    </xf>
    <xf numFmtId="165" fontId="58" fillId="36" borderId="86" xfId="1042" applyFont="1" applyFill="1" applyBorder="1" applyAlignment="1">
      <alignment horizontal="center" vertical="center"/>
    </xf>
    <xf numFmtId="165" fontId="58" fillId="36" borderId="32" xfId="1042" applyFont="1" applyFill="1" applyBorder="1" applyAlignment="1">
      <alignment horizontal="center" vertical="center"/>
    </xf>
    <xf numFmtId="165" fontId="58" fillId="36" borderId="87" xfId="1042" applyFont="1" applyFill="1" applyBorder="1" applyAlignment="1">
      <alignment horizontal="center" vertical="center"/>
    </xf>
    <xf numFmtId="165" fontId="58" fillId="36" borderId="51" xfId="1042" applyFont="1" applyFill="1" applyBorder="1" applyAlignment="1">
      <alignment horizontal="center" vertical="center"/>
    </xf>
    <xf numFmtId="165" fontId="58" fillId="36" borderId="0" xfId="1042" applyFont="1" applyFill="1" applyBorder="1" applyAlignment="1">
      <alignment horizontal="center" vertical="center"/>
    </xf>
    <xf numFmtId="165" fontId="58" fillId="36" borderId="52" xfId="1042" applyFont="1" applyFill="1" applyBorder="1" applyAlignment="1">
      <alignment horizontal="center" vertical="center"/>
    </xf>
    <xf numFmtId="165" fontId="58" fillId="36" borderId="44" xfId="1042" applyFont="1" applyFill="1" applyBorder="1" applyAlignment="1">
      <alignment horizontal="center" vertical="center"/>
    </xf>
    <xf numFmtId="165" fontId="58" fillId="36" borderId="47" xfId="1042" applyFont="1" applyFill="1" applyBorder="1" applyAlignment="1">
      <alignment horizontal="center" vertical="center"/>
    </xf>
    <xf numFmtId="165" fontId="58" fillId="36" borderId="46" xfId="1042" applyFont="1" applyFill="1" applyBorder="1" applyAlignment="1">
      <alignment horizontal="center" vertical="center"/>
    </xf>
    <xf numFmtId="0" fontId="57" fillId="36" borderId="49" xfId="0" applyFont="1" applyFill="1" applyBorder="1" applyAlignment="1">
      <alignment horizontal="left" vertical="center" wrapText="1"/>
    </xf>
    <xf numFmtId="0" fontId="57" fillId="36" borderId="50" xfId="0" applyFont="1" applyFill="1" applyBorder="1" applyAlignment="1">
      <alignment horizontal="left" vertical="center" wrapText="1"/>
    </xf>
    <xf numFmtId="0" fontId="57" fillId="36" borderId="27" xfId="0" applyFont="1" applyFill="1" applyBorder="1" applyAlignment="1">
      <alignment horizontal="left" vertical="center" wrapText="1"/>
    </xf>
    <xf numFmtId="165" fontId="57" fillId="36" borderId="24" xfId="1042" applyFont="1" applyFill="1" applyBorder="1" applyAlignment="1">
      <alignment horizontal="center" vertical="center" wrapText="1"/>
    </xf>
    <xf numFmtId="165" fontId="57" fillId="36" borderId="35" xfId="1042" applyFont="1" applyFill="1" applyBorder="1" applyAlignment="1">
      <alignment horizontal="center" vertical="center" wrapText="1"/>
    </xf>
    <xf numFmtId="0" fontId="82" fillId="36" borderId="82" xfId="0" applyFont="1" applyFill="1" applyBorder="1" applyAlignment="1">
      <alignment horizontal="center" vertical="center"/>
    </xf>
    <xf numFmtId="0" fontId="82" fillId="36" borderId="68" xfId="0" applyFont="1" applyFill="1" applyBorder="1" applyAlignment="1">
      <alignment horizontal="center" vertical="center"/>
    </xf>
    <xf numFmtId="0" fontId="82" fillId="36" borderId="69" xfId="0" applyFont="1" applyFill="1" applyBorder="1" applyAlignment="1">
      <alignment horizontal="center" vertical="center"/>
    </xf>
    <xf numFmtId="0" fontId="82" fillId="36" borderId="34" xfId="0" applyFont="1" applyFill="1" applyBorder="1" applyAlignment="1">
      <alignment horizontal="center" vertical="center"/>
    </xf>
    <xf numFmtId="0" fontId="82" fillId="36" borderId="24" xfId="0" applyFont="1" applyFill="1" applyBorder="1" applyAlignment="1">
      <alignment horizontal="center" vertical="center"/>
    </xf>
    <xf numFmtId="0" fontId="82" fillId="36" borderId="35" xfId="0" applyFont="1" applyFill="1" applyBorder="1" applyAlignment="1">
      <alignment horizontal="center" vertical="center"/>
    </xf>
    <xf numFmtId="0" fontId="60" fillId="36" borderId="82" xfId="0" applyFont="1" applyFill="1" applyBorder="1" applyAlignment="1">
      <alignment horizontal="center" vertical="center"/>
    </xf>
    <xf numFmtId="0" fontId="59" fillId="36" borderId="68" xfId="0" applyFont="1" applyFill="1" applyBorder="1" applyAlignment="1">
      <alignment horizontal="center" vertical="center"/>
    </xf>
    <xf numFmtId="0" fontId="59" fillId="36" borderId="69" xfId="0" applyFont="1" applyFill="1" applyBorder="1" applyAlignment="1">
      <alignment horizontal="center" vertical="center"/>
    </xf>
    <xf numFmtId="3" fontId="60" fillId="36" borderId="34" xfId="0" applyNumberFormat="1" applyFont="1" applyFill="1" applyBorder="1" applyAlignment="1">
      <alignment horizontal="center" vertical="center"/>
    </xf>
    <xf numFmtId="3" fontId="60" fillId="36" borderId="24" xfId="0" applyNumberFormat="1" applyFont="1" applyFill="1" applyBorder="1" applyAlignment="1">
      <alignment horizontal="center" vertical="center"/>
    </xf>
    <xf numFmtId="3" fontId="60" fillId="36" borderId="35" xfId="0" applyNumberFormat="1" applyFont="1" applyFill="1" applyBorder="1" applyAlignment="1">
      <alignment horizontal="center" vertical="center"/>
    </xf>
    <xf numFmtId="3" fontId="59" fillId="36" borderId="80" xfId="0" applyNumberFormat="1" applyFont="1" applyFill="1" applyBorder="1" applyAlignment="1">
      <alignment horizontal="center" vertical="center"/>
    </xf>
    <xf numFmtId="0" fontId="59" fillId="36" borderId="81" xfId="0" applyFont="1" applyFill="1" applyBorder="1" applyAlignment="1">
      <alignment horizontal="center" vertical="center"/>
    </xf>
    <xf numFmtId="3" fontId="59" fillId="36" borderId="49" xfId="0" applyNumberFormat="1" applyFont="1" applyFill="1" applyBorder="1" applyAlignment="1">
      <alignment horizontal="center" vertical="center"/>
    </xf>
    <xf numFmtId="3" fontId="59" fillId="36" borderId="50" xfId="0" applyNumberFormat="1" applyFont="1" applyFill="1" applyBorder="1" applyAlignment="1">
      <alignment horizontal="center" vertical="center"/>
    </xf>
    <xf numFmtId="3" fontId="59" fillId="36" borderId="27" xfId="0" applyNumberFormat="1" applyFont="1" applyFill="1" applyBorder="1" applyAlignment="1">
      <alignment horizontal="center" vertical="center"/>
    </xf>
    <xf numFmtId="3" fontId="59" fillId="36" borderId="21" xfId="0" applyNumberFormat="1" applyFont="1" applyFill="1" applyBorder="1" applyAlignment="1">
      <alignment horizontal="center" vertical="center" wrapText="1"/>
    </xf>
    <xf numFmtId="0" fontId="59" fillId="36" borderId="60" xfId="0" applyFont="1" applyFill="1" applyBorder="1" applyAlignment="1">
      <alignment horizontal="center" vertical="center" wrapText="1"/>
    </xf>
    <xf numFmtId="3" fontId="59" fillId="36" borderId="25" xfId="0" applyNumberFormat="1" applyFont="1" applyFill="1" applyBorder="1" applyAlignment="1">
      <alignment horizontal="center" vertical="center"/>
    </xf>
    <xf numFmtId="0" fontId="59" fillId="36" borderId="26" xfId="0" applyFont="1" applyFill="1" applyBorder="1" applyAlignment="1">
      <alignment horizontal="center" vertical="center"/>
    </xf>
    <xf numFmtId="0" fontId="59" fillId="36" borderId="48" xfId="0" applyFont="1" applyFill="1" applyBorder="1" applyAlignment="1">
      <alignment horizontal="center" vertical="center"/>
    </xf>
    <xf numFmtId="0" fontId="59" fillId="36" borderId="51" xfId="0" applyFont="1" applyFill="1" applyBorder="1" applyAlignment="1">
      <alignment horizontal="center" vertical="center"/>
    </xf>
    <xf numFmtId="0" fontId="59" fillId="36" borderId="0" xfId="0" applyFont="1" applyFill="1" applyBorder="1" applyAlignment="1">
      <alignment horizontal="center" vertical="center"/>
    </xf>
    <xf numFmtId="0" fontId="59" fillId="36" borderId="52" xfId="0" applyFont="1" applyFill="1" applyBorder="1" applyAlignment="1">
      <alignment horizontal="center" vertical="center"/>
    </xf>
    <xf numFmtId="3" fontId="59" fillId="36" borderId="49" xfId="0" applyNumberFormat="1" applyFont="1" applyFill="1" applyBorder="1" applyAlignment="1">
      <alignment horizontal="center" vertical="center" wrapText="1"/>
    </xf>
    <xf numFmtId="3" fontId="59" fillId="36" borderId="50" xfId="0" applyNumberFormat="1" applyFont="1" applyFill="1" applyBorder="1" applyAlignment="1">
      <alignment horizontal="center" vertical="center" wrapText="1"/>
    </xf>
    <xf numFmtId="3" fontId="59" fillId="36" borderId="27" xfId="0" applyNumberFormat="1" applyFont="1" applyFill="1" applyBorder="1" applyAlignment="1">
      <alignment horizontal="center" vertical="center" wrapText="1"/>
    </xf>
    <xf numFmtId="3" fontId="60" fillId="36" borderId="83" xfId="0" applyNumberFormat="1" applyFont="1" applyFill="1" applyBorder="1" applyAlignment="1">
      <alignment horizontal="center" vertical="center" wrapText="1"/>
    </xf>
    <xf numFmtId="3" fontId="60" fillId="36" borderId="55" xfId="0" applyNumberFormat="1" applyFont="1" applyFill="1" applyBorder="1" applyAlignment="1">
      <alignment horizontal="center" vertical="center" wrapText="1"/>
    </xf>
    <xf numFmtId="3" fontId="60" fillId="36" borderId="84" xfId="0" applyNumberFormat="1" applyFont="1" applyFill="1" applyBorder="1" applyAlignment="1">
      <alignment horizontal="center" vertical="center" wrapText="1"/>
    </xf>
    <xf numFmtId="3" fontId="59" fillId="36" borderId="60" xfId="0" applyNumberFormat="1" applyFont="1" applyFill="1" applyBorder="1" applyAlignment="1">
      <alignment horizontal="center" vertical="center" wrapText="1"/>
    </xf>
    <xf numFmtId="3" fontId="59" fillId="36" borderId="62" xfId="0" applyNumberFormat="1" applyFont="1" applyFill="1" applyBorder="1" applyAlignment="1">
      <alignment horizontal="center" vertical="center" wrapText="1"/>
    </xf>
    <xf numFmtId="3" fontId="59" fillId="36" borderId="63" xfId="0" applyNumberFormat="1" applyFont="1" applyFill="1" applyBorder="1" applyAlignment="1">
      <alignment horizontal="center" vertical="center" wrapText="1"/>
    </xf>
    <xf numFmtId="0" fontId="59" fillId="36" borderId="27" xfId="0" applyFont="1" applyFill="1" applyBorder="1" applyAlignment="1">
      <alignment horizontal="center" vertical="center" wrapText="1"/>
    </xf>
    <xf numFmtId="0" fontId="59" fillId="36" borderId="21" xfId="0" applyFont="1" applyFill="1" applyBorder="1" applyAlignment="1">
      <alignment horizontal="center" vertical="center" wrapText="1"/>
    </xf>
    <xf numFmtId="1" fontId="71" fillId="36" borderId="39" xfId="0" applyNumberFormat="1" applyFont="1" applyFill="1" applyBorder="1" applyAlignment="1">
      <alignment horizontal="center" vertical="center"/>
    </xf>
    <xf numFmtId="1" fontId="71" fillId="36" borderId="32" xfId="0" applyNumberFormat="1" applyFont="1" applyFill="1" applyBorder="1" applyAlignment="1">
      <alignment horizontal="center" vertical="center"/>
    </xf>
    <xf numFmtId="1" fontId="71" fillId="36" borderId="33" xfId="0" applyNumberFormat="1" applyFont="1" applyFill="1" applyBorder="1" applyAlignment="1">
      <alignment horizontal="center" vertical="center"/>
    </xf>
    <xf numFmtId="1" fontId="58" fillId="0" borderId="100" xfId="0" applyNumberFormat="1" applyFont="1" applyBorder="1" applyAlignment="1">
      <alignment horizontal="left" vertical="center"/>
    </xf>
    <xf numFmtId="0" fontId="58" fillId="0" borderId="101" xfId="0" applyFont="1" applyBorder="1" applyAlignment="1">
      <alignment vertical="center"/>
    </xf>
    <xf numFmtId="0" fontId="58" fillId="0" borderId="102" xfId="0" applyFont="1" applyBorder="1" applyAlignment="1">
      <alignment vertical="center"/>
    </xf>
    <xf numFmtId="0" fontId="60" fillId="0" borderId="103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104" xfId="0" applyFont="1" applyBorder="1" applyAlignment="1">
      <alignment vertical="center"/>
    </xf>
    <xf numFmtId="0" fontId="58" fillId="0" borderId="105" xfId="0" applyFont="1" applyBorder="1" applyAlignment="1">
      <alignment vertical="center"/>
    </xf>
    <xf numFmtId="0" fontId="58" fillId="0" borderId="30" xfId="0" applyFont="1" applyBorder="1" applyAlignment="1">
      <alignment vertical="center"/>
    </xf>
    <xf numFmtId="0" fontId="58" fillId="0" borderId="106" xfId="0" applyFont="1" applyBorder="1" applyAlignment="1">
      <alignment vertical="center"/>
    </xf>
    <xf numFmtId="1" fontId="57" fillId="0" borderId="107" xfId="0" applyNumberFormat="1" applyFont="1" applyBorder="1" applyAlignment="1">
      <alignment horizontal="left" vertical="center"/>
    </xf>
    <xf numFmtId="0" fontId="58" fillId="0" borderId="108" xfId="0" applyFont="1" applyBorder="1" applyAlignment="1">
      <alignment vertical="center"/>
    </xf>
    <xf numFmtId="0" fontId="58" fillId="0" borderId="109" xfId="0" applyFont="1" applyBorder="1" applyAlignment="1">
      <alignment vertical="center"/>
    </xf>
    <xf numFmtId="0" fontId="71" fillId="36" borderId="40" xfId="0" applyFont="1" applyFill="1" applyBorder="1" applyAlignment="1">
      <alignment horizontal="center" vertical="center"/>
    </xf>
    <xf numFmtId="0" fontId="71" fillId="36" borderId="0" xfId="0" applyFont="1" applyFill="1" applyBorder="1" applyAlignment="1">
      <alignment horizontal="center" vertical="center"/>
    </xf>
    <xf numFmtId="0" fontId="71" fillId="36" borderId="29" xfId="0" applyFont="1" applyFill="1" applyBorder="1" applyAlignment="1">
      <alignment horizontal="center" vertical="center"/>
    </xf>
    <xf numFmtId="0" fontId="71" fillId="36" borderId="41" xfId="0" applyFont="1" applyFill="1" applyBorder="1" applyAlignment="1">
      <alignment horizontal="center" vertical="center"/>
    </xf>
    <xf numFmtId="0" fontId="71" fillId="36" borderId="30" xfId="0" applyFont="1" applyFill="1" applyBorder="1" applyAlignment="1">
      <alignment horizontal="center" vertical="center"/>
    </xf>
    <xf numFmtId="0" fontId="71" fillId="36" borderId="31" xfId="0" applyFont="1" applyFill="1" applyBorder="1" applyAlignment="1">
      <alignment horizontal="center" vertical="center"/>
    </xf>
    <xf numFmtId="1" fontId="71" fillId="36" borderId="39" xfId="0" applyNumberFormat="1" applyFont="1" applyFill="1" applyBorder="1" applyAlignment="1">
      <alignment horizontal="left" vertical="center" wrapText="1"/>
    </xf>
    <xf numFmtId="1" fontId="71" fillId="36" borderId="32" xfId="0" applyNumberFormat="1" applyFont="1" applyFill="1" applyBorder="1" applyAlignment="1">
      <alignment horizontal="left" vertical="center" wrapText="1"/>
    </xf>
    <xf numFmtId="1" fontId="71" fillId="36" borderId="33" xfId="0" applyNumberFormat="1" applyFont="1" applyFill="1" applyBorder="1" applyAlignment="1">
      <alignment horizontal="left" vertical="center" wrapText="1"/>
    </xf>
    <xf numFmtId="1" fontId="71" fillId="36" borderId="40" xfId="0" applyNumberFormat="1" applyFont="1" applyFill="1" applyBorder="1" applyAlignment="1">
      <alignment horizontal="left" vertical="center" wrapText="1"/>
    </xf>
    <xf numFmtId="1" fontId="71" fillId="36" borderId="0" xfId="0" applyNumberFormat="1" applyFont="1" applyFill="1" applyBorder="1" applyAlignment="1">
      <alignment horizontal="left" vertical="center" wrapText="1"/>
    </xf>
    <xf numFmtId="1" fontId="71" fillId="36" borderId="29" xfId="0" applyNumberFormat="1" applyFont="1" applyFill="1" applyBorder="1" applyAlignment="1">
      <alignment horizontal="left" vertical="center" wrapText="1"/>
    </xf>
    <xf numFmtId="1" fontId="71" fillId="36" borderId="41" xfId="0" applyNumberFormat="1" applyFont="1" applyFill="1" applyBorder="1" applyAlignment="1">
      <alignment horizontal="center" vertical="center"/>
    </xf>
    <xf numFmtId="1" fontId="71" fillId="36" borderId="30" xfId="0" applyNumberFormat="1" applyFont="1" applyFill="1" applyBorder="1" applyAlignment="1">
      <alignment horizontal="center" vertical="center"/>
    </xf>
    <xf numFmtId="1" fontId="71" fillId="36" borderId="31" xfId="0" applyNumberFormat="1" applyFont="1" applyFill="1" applyBorder="1" applyAlignment="1">
      <alignment horizontal="center" vertical="center"/>
    </xf>
    <xf numFmtId="1" fontId="60" fillId="36" borderId="40" xfId="0" applyNumberFormat="1" applyFont="1" applyFill="1" applyBorder="1" applyAlignment="1">
      <alignment horizontal="left" vertical="center"/>
    </xf>
    <xf numFmtId="1" fontId="60" fillId="36" borderId="0" xfId="0" applyNumberFormat="1" applyFont="1" applyFill="1" applyBorder="1" applyAlignment="1">
      <alignment horizontal="left" vertical="center"/>
    </xf>
    <xf numFmtId="1" fontId="60" fillId="36" borderId="29" xfId="0" applyNumberFormat="1" applyFont="1" applyFill="1" applyBorder="1" applyAlignment="1">
      <alignment horizontal="left" vertical="center"/>
    </xf>
    <xf numFmtId="0" fontId="60" fillId="0" borderId="110" xfId="0" applyFont="1" applyBorder="1" applyAlignment="1">
      <alignment horizontal="center" vertical="center"/>
    </xf>
    <xf numFmtId="0" fontId="58" fillId="0" borderId="111" xfId="0" applyFont="1" applyBorder="1" applyAlignment="1">
      <alignment vertical="center"/>
    </xf>
    <xf numFmtId="1" fontId="58" fillId="36" borderId="41" xfId="0" applyNumberFormat="1" applyFont="1" applyFill="1" applyBorder="1" applyAlignment="1">
      <alignment horizontal="left" vertical="center"/>
    </xf>
    <xf numFmtId="0" fontId="58" fillId="36" borderId="30" xfId="0" applyFont="1" applyFill="1" applyBorder="1" applyAlignment="1">
      <alignment vertical="center"/>
    </xf>
    <xf numFmtId="1" fontId="58" fillId="36" borderId="30" xfId="0" applyNumberFormat="1" applyFont="1" applyFill="1" applyBorder="1" applyAlignment="1">
      <alignment horizontal="left" vertical="center"/>
    </xf>
    <xf numFmtId="0" fontId="58" fillId="36" borderId="31" xfId="0" applyFont="1" applyFill="1" applyBorder="1" applyAlignment="1">
      <alignment vertical="center"/>
    </xf>
    <xf numFmtId="1" fontId="58" fillId="40" borderId="100" xfId="0" applyNumberFormat="1" applyFont="1" applyFill="1" applyBorder="1" applyAlignment="1">
      <alignment horizontal="left" vertical="center"/>
    </xf>
    <xf numFmtId="0" fontId="58" fillId="40" borderId="101" xfId="0" applyFont="1" applyFill="1" applyBorder="1" applyAlignment="1">
      <alignment vertical="center"/>
    </xf>
    <xf numFmtId="0" fontId="58" fillId="40" borderId="102" xfId="0" applyFont="1" applyFill="1" applyBorder="1" applyAlignment="1">
      <alignment vertical="center"/>
    </xf>
    <xf numFmtId="1" fontId="57" fillId="0" borderId="100" xfId="0" applyNumberFormat="1" applyFont="1" applyBorder="1" applyAlignment="1">
      <alignment horizontal="left" vertical="center"/>
    </xf>
    <xf numFmtId="1" fontId="66" fillId="40" borderId="100" xfId="0" applyNumberFormat="1" applyFont="1" applyFill="1" applyBorder="1" applyAlignment="1">
      <alignment horizontal="left" vertical="center"/>
    </xf>
    <xf numFmtId="0" fontId="66" fillId="40" borderId="101" xfId="0" applyFont="1" applyFill="1" applyBorder="1" applyAlignment="1">
      <alignment vertical="center"/>
    </xf>
    <xf numFmtId="0" fontId="66" fillId="40" borderId="102" xfId="0" applyFont="1" applyFill="1" applyBorder="1" applyAlignment="1">
      <alignment vertical="center"/>
    </xf>
    <xf numFmtId="164" fontId="71" fillId="0" borderId="112" xfId="0" applyNumberFormat="1" applyFont="1" applyBorder="1" applyAlignment="1">
      <alignment horizontal="center" vertical="center"/>
    </xf>
    <xf numFmtId="0" fontId="58" fillId="0" borderId="113" xfId="0" applyFont="1" applyBorder="1" applyAlignment="1">
      <alignment vertical="center"/>
    </xf>
    <xf numFmtId="10" fontId="71" fillId="0" borderId="114" xfId="0" applyNumberFormat="1" applyFont="1" applyBorder="1" applyAlignment="1">
      <alignment horizontal="center" vertical="center"/>
    </xf>
    <xf numFmtId="10" fontId="58" fillId="0" borderId="115" xfId="0" applyNumberFormat="1" applyFont="1" applyBorder="1" applyAlignment="1">
      <alignment vertical="center"/>
    </xf>
    <xf numFmtId="1" fontId="58" fillId="0" borderId="101" xfId="0" applyNumberFormat="1" applyFont="1" applyBorder="1" applyAlignment="1">
      <alignment horizontal="left" vertical="center"/>
    </xf>
    <xf numFmtId="1" fontId="58" fillId="0" borderId="102" xfId="0" applyNumberFormat="1" applyFont="1" applyBorder="1" applyAlignment="1">
      <alignment horizontal="left" vertical="center"/>
    </xf>
    <xf numFmtId="40" fontId="71" fillId="0" borderId="114" xfId="0" applyNumberFormat="1" applyFont="1" applyBorder="1" applyAlignment="1">
      <alignment horizontal="center" vertical="center"/>
    </xf>
    <xf numFmtId="0" fontId="58" fillId="0" borderId="115" xfId="0" applyFont="1" applyBorder="1" applyAlignment="1">
      <alignment vertical="center"/>
    </xf>
    <xf numFmtId="0" fontId="63" fillId="0" borderId="116" xfId="0" applyFont="1" applyBorder="1" applyAlignment="1">
      <alignment horizontal="center" vertical="center" wrapText="1"/>
    </xf>
    <xf numFmtId="0" fontId="58" fillId="0" borderId="117" xfId="0" applyFont="1" applyBorder="1" applyAlignment="1">
      <alignment vertical="center"/>
    </xf>
    <xf numFmtId="0" fontId="58" fillId="0" borderId="118" xfId="0" applyFont="1" applyBorder="1" applyAlignment="1">
      <alignment vertical="center"/>
    </xf>
    <xf numFmtId="0" fontId="58" fillId="0" borderId="40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58" fillId="0" borderId="119" xfId="0" applyFont="1" applyBorder="1" applyAlignment="1">
      <alignment vertical="center"/>
    </xf>
    <xf numFmtId="0" fontId="83" fillId="36" borderId="0" xfId="0" applyFont="1" applyFill="1" applyBorder="1" applyAlignment="1">
      <alignment horizontal="center" vertical="center"/>
    </xf>
    <xf numFmtId="0" fontId="58" fillId="36" borderId="0" xfId="0" applyFont="1" applyFill="1" applyBorder="1" applyAlignment="1">
      <alignment vertical="center"/>
    </xf>
    <xf numFmtId="10" fontId="62" fillId="36" borderId="0" xfId="0" applyNumberFormat="1" applyFont="1" applyFill="1" applyBorder="1" applyAlignment="1">
      <alignment horizontal="center" vertical="center"/>
    </xf>
    <xf numFmtId="0" fontId="61" fillId="36" borderId="0" xfId="0" applyFont="1" applyFill="1" applyBorder="1" applyAlignment="1">
      <alignment vertical="center"/>
    </xf>
    <xf numFmtId="0" fontId="63" fillId="36" borderId="0" xfId="0" applyFont="1" applyFill="1" applyBorder="1" applyAlignment="1">
      <alignment horizontal="center" vertical="center"/>
    </xf>
    <xf numFmtId="0" fontId="58" fillId="0" borderId="113" xfId="0" applyFont="1" applyBorder="1"/>
    <xf numFmtId="10" fontId="58" fillId="0" borderId="115" xfId="0" applyNumberFormat="1" applyFont="1" applyBorder="1"/>
    <xf numFmtId="0" fontId="58" fillId="0" borderId="115" xfId="0" applyFont="1" applyBorder="1"/>
    <xf numFmtId="0" fontId="58" fillId="36" borderId="0" xfId="0" applyFont="1" applyFill="1" applyBorder="1"/>
    <xf numFmtId="0" fontId="61" fillId="36" borderId="0" xfId="0" applyFont="1" applyFill="1" applyBorder="1"/>
    <xf numFmtId="0" fontId="58" fillId="36" borderId="30" xfId="0" applyFont="1" applyFill="1" applyBorder="1"/>
    <xf numFmtId="0" fontId="58" fillId="0" borderId="117" xfId="0" applyFont="1" applyBorder="1"/>
    <xf numFmtId="0" fontId="58" fillId="0" borderId="118" xfId="0" applyFont="1" applyBorder="1"/>
    <xf numFmtId="0" fontId="58" fillId="0" borderId="40" xfId="0" applyFont="1" applyBorder="1"/>
    <xf numFmtId="0" fontId="58" fillId="0" borderId="0" xfId="0" applyFont="1" applyBorder="1"/>
    <xf numFmtId="0" fontId="58" fillId="0" borderId="119" xfId="0" applyFont="1" applyBorder="1"/>
    <xf numFmtId="1" fontId="58" fillId="0" borderId="100" xfId="0" applyNumberFormat="1" applyFont="1" applyBorder="1" applyAlignment="1">
      <alignment horizontal="left"/>
    </xf>
    <xf numFmtId="0" fontId="58" fillId="0" borderId="101" xfId="0" applyFont="1" applyBorder="1"/>
    <xf numFmtId="0" fontId="58" fillId="0" borderId="102" xfId="0" applyFont="1" applyBorder="1"/>
    <xf numFmtId="1" fontId="58" fillId="0" borderId="101" xfId="0" applyNumberFormat="1" applyFont="1" applyBorder="1" applyAlignment="1">
      <alignment horizontal="left"/>
    </xf>
    <xf numFmtId="1" fontId="58" fillId="0" borderId="102" xfId="0" applyNumberFormat="1" applyFont="1" applyBorder="1" applyAlignment="1">
      <alignment horizontal="left"/>
    </xf>
    <xf numFmtId="1" fontId="58" fillId="40" borderId="100" xfId="0" applyNumberFormat="1" applyFont="1" applyFill="1" applyBorder="1" applyAlignment="1">
      <alignment horizontal="left"/>
    </xf>
    <xf numFmtId="0" fontId="58" fillId="40" borderId="101" xfId="0" applyFont="1" applyFill="1" applyBorder="1"/>
    <xf numFmtId="0" fontId="58" fillId="40" borderId="102" xfId="0" applyFont="1" applyFill="1" applyBorder="1"/>
    <xf numFmtId="1" fontId="57" fillId="0" borderId="100" xfId="0" applyNumberFormat="1" applyFont="1" applyBorder="1" applyAlignment="1">
      <alignment horizontal="left"/>
    </xf>
    <xf numFmtId="1" fontId="66" fillId="40" borderId="100" xfId="0" applyNumberFormat="1" applyFont="1" applyFill="1" applyBorder="1" applyAlignment="1">
      <alignment horizontal="left"/>
    </xf>
    <xf numFmtId="0" fontId="66" fillId="40" borderId="101" xfId="0" applyFont="1" applyFill="1" applyBorder="1"/>
    <xf numFmtId="0" fontId="66" fillId="40" borderId="102" xfId="0" applyFont="1" applyFill="1" applyBorder="1"/>
    <xf numFmtId="1" fontId="71" fillId="36" borderId="39" xfId="0" applyNumberFormat="1" applyFont="1" applyFill="1" applyBorder="1" applyAlignment="1">
      <alignment horizontal="center"/>
    </xf>
    <xf numFmtId="1" fontId="71" fillId="36" borderId="32" xfId="0" applyNumberFormat="1" applyFont="1" applyFill="1" applyBorder="1" applyAlignment="1">
      <alignment horizontal="center"/>
    </xf>
    <xf numFmtId="1" fontId="71" fillId="36" borderId="33" xfId="0" applyNumberFormat="1" applyFont="1" applyFill="1" applyBorder="1" applyAlignment="1">
      <alignment horizontal="center"/>
    </xf>
    <xf numFmtId="0" fontId="58" fillId="0" borderId="111" xfId="0" applyFont="1" applyBorder="1"/>
    <xf numFmtId="0" fontId="58" fillId="0" borderId="32" xfId="0" applyFont="1" applyBorder="1"/>
    <xf numFmtId="0" fontId="58" fillId="0" borderId="104" xfId="0" applyFont="1" applyBorder="1"/>
    <xf numFmtId="0" fontId="58" fillId="0" borderId="105" xfId="0" applyFont="1" applyBorder="1"/>
    <xf numFmtId="0" fontId="58" fillId="0" borderId="30" xfId="0" applyFont="1" applyBorder="1"/>
    <xf numFmtId="0" fontId="58" fillId="0" borderId="106" xfId="0" applyFont="1" applyBorder="1"/>
    <xf numFmtId="1" fontId="57" fillId="0" borderId="107" xfId="0" applyNumberFormat="1" applyFont="1" applyBorder="1" applyAlignment="1">
      <alignment horizontal="left"/>
    </xf>
    <xf numFmtId="0" fontId="58" fillId="0" borderId="108" xfId="0" applyFont="1" applyBorder="1"/>
    <xf numFmtId="0" fontId="58" fillId="0" borderId="109" xfId="0" applyFont="1" applyBorder="1"/>
    <xf numFmtId="1" fontId="71" fillId="36" borderId="41" xfId="0" applyNumberFormat="1" applyFont="1" applyFill="1" applyBorder="1" applyAlignment="1">
      <alignment horizontal="center"/>
    </xf>
    <xf numFmtId="1" fontId="71" fillId="36" borderId="30" xfId="0" applyNumberFormat="1" applyFont="1" applyFill="1" applyBorder="1" applyAlignment="1">
      <alignment horizontal="center"/>
    </xf>
    <xf numFmtId="1" fontId="71" fillId="36" borderId="31" xfId="0" applyNumberFormat="1" applyFont="1" applyFill="1" applyBorder="1" applyAlignment="1">
      <alignment horizontal="center"/>
    </xf>
    <xf numFmtId="1" fontId="71" fillId="36" borderId="40" xfId="0" applyNumberFormat="1" applyFont="1" applyFill="1" applyBorder="1" applyAlignment="1">
      <alignment horizontal="left"/>
    </xf>
    <xf numFmtId="1" fontId="71" fillId="36" borderId="0" xfId="0" applyNumberFormat="1" applyFont="1" applyFill="1" applyBorder="1" applyAlignment="1">
      <alignment horizontal="left"/>
    </xf>
    <xf numFmtId="1" fontId="71" fillId="36" borderId="29" xfId="0" applyNumberFormat="1" applyFont="1" applyFill="1" applyBorder="1" applyAlignment="1">
      <alignment horizontal="left"/>
    </xf>
    <xf numFmtId="1" fontId="58" fillId="36" borderId="41" xfId="0" applyNumberFormat="1" applyFont="1" applyFill="1" applyBorder="1" applyAlignment="1">
      <alignment horizontal="left"/>
    </xf>
    <xf numFmtId="1" fontId="58" fillId="36" borderId="30" xfId="0" applyNumberFormat="1" applyFont="1" applyFill="1" applyBorder="1" applyAlignment="1">
      <alignment horizontal="left"/>
    </xf>
    <xf numFmtId="0" fontId="58" fillId="36" borderId="31" xfId="0" applyFont="1" applyFill="1" applyBorder="1"/>
    <xf numFmtId="0" fontId="71" fillId="42" borderId="39" xfId="0" applyFont="1" applyFill="1" applyBorder="1" applyAlignment="1">
      <alignment horizontal="center" vertical="center"/>
    </xf>
    <xf numFmtId="0" fontId="71" fillId="42" borderId="32" xfId="0" applyFont="1" applyFill="1" applyBorder="1" applyAlignment="1">
      <alignment horizontal="center" vertical="center"/>
    </xf>
    <xf numFmtId="0" fontId="71" fillId="42" borderId="33" xfId="0" applyFont="1" applyFill="1" applyBorder="1" applyAlignment="1">
      <alignment horizontal="center" vertical="center"/>
    </xf>
    <xf numFmtId="0" fontId="71" fillId="42" borderId="79" xfId="0" applyFont="1" applyFill="1" applyBorder="1" applyAlignment="1">
      <alignment horizontal="center" vertical="center"/>
    </xf>
    <xf numFmtId="0" fontId="71" fillId="42" borderId="47" xfId="0" applyFont="1" applyFill="1" applyBorder="1" applyAlignment="1">
      <alignment horizontal="center" vertical="center"/>
    </xf>
    <xf numFmtId="0" fontId="71" fillId="42" borderId="67" xfId="0" applyFont="1" applyFill="1" applyBorder="1" applyAlignment="1">
      <alignment horizontal="center" vertical="center"/>
    </xf>
    <xf numFmtId="0" fontId="57" fillId="42" borderId="61" xfId="0" applyFont="1" applyFill="1" applyBorder="1" applyAlignment="1">
      <alignment horizontal="center" vertical="center"/>
    </xf>
    <xf numFmtId="0" fontId="57" fillId="42" borderId="50" xfId="0" applyFont="1" applyFill="1" applyBorder="1" applyAlignment="1">
      <alignment horizontal="center" vertical="center"/>
    </xf>
    <xf numFmtId="0" fontId="57" fillId="42" borderId="65" xfId="0" applyFont="1" applyFill="1" applyBorder="1" applyAlignment="1">
      <alignment horizontal="center" vertical="center"/>
    </xf>
    <xf numFmtId="0" fontId="57" fillId="36" borderId="61" xfId="0" applyFont="1" applyFill="1" applyBorder="1" applyAlignment="1">
      <alignment horizontal="center" vertical="center"/>
    </xf>
    <xf numFmtId="0" fontId="57" fillId="36" borderId="50" xfId="0" applyFont="1" applyFill="1" applyBorder="1" applyAlignment="1">
      <alignment horizontal="center" vertical="center"/>
    </xf>
    <xf numFmtId="0" fontId="57" fillId="36" borderId="65" xfId="0" applyFont="1" applyFill="1" applyBorder="1" applyAlignment="1">
      <alignment horizontal="center" vertical="center"/>
    </xf>
    <xf numFmtId="0" fontId="58" fillId="36" borderId="61" xfId="0" applyFont="1" applyFill="1" applyBorder="1" applyAlignment="1">
      <alignment horizontal="left" vertical="center"/>
    </xf>
    <xf numFmtId="0" fontId="58" fillId="36" borderId="27" xfId="0" applyFont="1" applyFill="1" applyBorder="1" applyAlignment="1">
      <alignment horizontal="left" vertical="center"/>
    </xf>
    <xf numFmtId="0" fontId="58" fillId="36" borderId="34" xfId="0" applyFont="1" applyFill="1" applyBorder="1" applyAlignment="1">
      <alignment horizontal="center" vertical="center"/>
    </xf>
    <xf numFmtId="0" fontId="58" fillId="36" borderId="24" xfId="0" applyFont="1" applyFill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8" fillId="36" borderId="61" xfId="0" applyFont="1" applyFill="1" applyBorder="1" applyAlignment="1">
      <alignment horizontal="center" vertical="center"/>
    </xf>
    <xf numFmtId="0" fontId="58" fillId="36" borderId="27" xfId="0" applyFont="1" applyFill="1" applyBorder="1" applyAlignment="1">
      <alignment horizontal="center" vertical="center"/>
    </xf>
    <xf numFmtId="0" fontId="58" fillId="36" borderId="35" xfId="0" applyFont="1" applyFill="1" applyBorder="1" applyAlignment="1">
      <alignment horizontal="center" vertical="center"/>
    </xf>
    <xf numFmtId="0" fontId="58" fillId="36" borderId="61" xfId="0" applyFont="1" applyFill="1" applyBorder="1" applyAlignment="1">
      <alignment horizontal="left"/>
    </xf>
    <xf numFmtId="0" fontId="58" fillId="36" borderId="27" xfId="0" applyFont="1" applyFill="1" applyBorder="1" applyAlignment="1">
      <alignment horizontal="left"/>
    </xf>
    <xf numFmtId="0" fontId="58" fillId="36" borderId="34" xfId="0" applyFont="1" applyFill="1" applyBorder="1" applyAlignment="1">
      <alignment horizontal="left"/>
    </xf>
    <xf numFmtId="0" fontId="58" fillId="36" borderId="24" xfId="0" applyFont="1" applyFill="1" applyBorder="1" applyAlignment="1">
      <alignment horizontal="left"/>
    </xf>
    <xf numFmtId="0" fontId="58" fillId="36" borderId="50" xfId="0" applyFont="1" applyFill="1" applyBorder="1" applyAlignment="1">
      <alignment horizontal="center" vertical="center"/>
    </xf>
    <xf numFmtId="0" fontId="58" fillId="36" borderId="65" xfId="0" applyFont="1" applyFill="1" applyBorder="1" applyAlignment="1">
      <alignment horizontal="center" vertical="center"/>
    </xf>
    <xf numFmtId="0" fontId="58" fillId="36" borderId="88" xfId="0" applyFont="1" applyFill="1" applyBorder="1" applyAlignment="1">
      <alignment horizontal="left" vertical="center"/>
    </xf>
    <xf numFmtId="0" fontId="58" fillId="36" borderId="45" xfId="0" applyFont="1" applyFill="1" applyBorder="1" applyAlignment="1">
      <alignment horizontal="left" vertical="center"/>
    </xf>
    <xf numFmtId="0" fontId="58" fillId="36" borderId="89" xfId="0" applyFont="1" applyFill="1" applyBorder="1" applyAlignment="1">
      <alignment horizontal="left" vertical="center"/>
    </xf>
    <xf numFmtId="0" fontId="71" fillId="42" borderId="83" xfId="0" applyFont="1" applyFill="1" applyBorder="1" applyAlignment="1">
      <alignment horizontal="center"/>
    </xf>
    <xf numFmtId="0" fontId="71" fillId="42" borderId="55" xfId="0" applyFont="1" applyFill="1" applyBorder="1" applyAlignment="1">
      <alignment horizontal="center"/>
    </xf>
    <xf numFmtId="0" fontId="71" fillId="42" borderId="84" xfId="0" applyFont="1" applyFill="1" applyBorder="1" applyAlignment="1">
      <alignment horizontal="center"/>
    </xf>
    <xf numFmtId="0" fontId="58" fillId="36" borderId="82" xfId="0" applyFont="1" applyFill="1" applyBorder="1" applyAlignment="1">
      <alignment horizontal="left" vertical="center"/>
    </xf>
    <xf numFmtId="0" fontId="58" fillId="36" borderId="68" xfId="0" applyFont="1" applyFill="1" applyBorder="1" applyAlignment="1">
      <alignment horizontal="left" vertical="center"/>
    </xf>
    <xf numFmtId="0" fontId="58" fillId="36" borderId="34" xfId="0" applyFont="1" applyFill="1" applyBorder="1" applyAlignment="1">
      <alignment horizontal="left" vertical="center"/>
    </xf>
    <xf numFmtId="0" fontId="58" fillId="36" borderId="24" xfId="0" applyFont="1" applyFill="1" applyBorder="1" applyAlignment="1">
      <alignment horizontal="left" vertical="center"/>
    </xf>
    <xf numFmtId="0" fontId="69" fillId="36" borderId="61" xfId="0" applyFont="1" applyFill="1" applyBorder="1" applyAlignment="1">
      <alignment horizontal="center" vertical="center" wrapText="1"/>
    </xf>
    <xf numFmtId="0" fontId="69" fillId="36" borderId="50" xfId="0" applyFont="1" applyFill="1" applyBorder="1" applyAlignment="1">
      <alignment horizontal="center" vertical="center" wrapText="1"/>
    </xf>
    <xf numFmtId="0" fontId="69" fillId="36" borderId="65" xfId="0" applyFont="1" applyFill="1" applyBorder="1" applyAlignment="1">
      <alignment horizontal="center" vertical="center" wrapText="1"/>
    </xf>
    <xf numFmtId="0" fontId="84" fillId="42" borderId="61" xfId="0" applyFont="1" applyFill="1" applyBorder="1" applyAlignment="1">
      <alignment horizontal="center" vertical="center"/>
    </xf>
    <xf numFmtId="0" fontId="84" fillId="42" borderId="50" xfId="0" applyFont="1" applyFill="1" applyBorder="1" applyAlignment="1">
      <alignment horizontal="center" vertical="center"/>
    </xf>
    <xf numFmtId="0" fontId="84" fillId="42" borderId="65" xfId="0" applyFont="1" applyFill="1" applyBorder="1" applyAlignment="1">
      <alignment horizontal="center" vertical="center"/>
    </xf>
    <xf numFmtId="0" fontId="85" fillId="42" borderId="39" xfId="0" applyFont="1" applyFill="1" applyBorder="1" applyAlignment="1">
      <alignment horizontal="center" vertical="center"/>
    </xf>
    <xf numFmtId="0" fontId="85" fillId="42" borderId="32" xfId="0" applyFont="1" applyFill="1" applyBorder="1" applyAlignment="1">
      <alignment horizontal="center" vertical="center"/>
    </xf>
    <xf numFmtId="0" fontId="85" fillId="42" borderId="33" xfId="0" applyFont="1" applyFill="1" applyBorder="1" applyAlignment="1">
      <alignment horizontal="center" vertical="center"/>
    </xf>
    <xf numFmtId="0" fontId="85" fillId="42" borderId="79" xfId="0" applyFont="1" applyFill="1" applyBorder="1" applyAlignment="1">
      <alignment horizontal="center" vertical="center"/>
    </xf>
    <xf numFmtId="0" fontId="85" fillId="42" borderId="47" xfId="0" applyFont="1" applyFill="1" applyBorder="1" applyAlignment="1">
      <alignment horizontal="center" vertical="center"/>
    </xf>
    <xf numFmtId="0" fontId="85" fillId="42" borderId="67" xfId="0" applyFont="1" applyFill="1" applyBorder="1" applyAlignment="1">
      <alignment horizontal="center" vertical="center"/>
    </xf>
    <xf numFmtId="0" fontId="69" fillId="36" borderId="61" xfId="0" applyFont="1" applyFill="1" applyBorder="1" applyAlignment="1">
      <alignment horizontal="center" vertical="center"/>
    </xf>
    <xf numFmtId="0" fontId="69" fillId="36" borderId="50" xfId="0" applyFont="1" applyFill="1" applyBorder="1" applyAlignment="1">
      <alignment horizontal="center" vertical="center"/>
    </xf>
    <xf numFmtId="0" fontId="69" fillId="36" borderId="65" xfId="0" applyFont="1" applyFill="1" applyBorder="1" applyAlignment="1">
      <alignment horizontal="center" vertical="center"/>
    </xf>
    <xf numFmtId="0" fontId="52" fillId="38" borderId="40" xfId="0" applyFont="1" applyFill="1" applyBorder="1" applyAlignment="1">
      <alignment horizontal="left" vertical="top" wrapText="1"/>
    </xf>
    <xf numFmtId="0" fontId="53" fillId="38" borderId="0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29" xfId="0" applyBorder="1"/>
    <xf numFmtId="0" fontId="51" fillId="38" borderId="39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4" fontId="88" fillId="43" borderId="0" xfId="315" applyNumberFormat="1" applyFont="1" applyFill="1" applyAlignment="1">
      <alignment horizontal="right" vertical="center" readingOrder="1"/>
    </xf>
    <xf numFmtId="4" fontId="88" fillId="43" borderId="119" xfId="315" applyNumberFormat="1" applyFont="1" applyFill="1" applyBorder="1" applyAlignment="1">
      <alignment horizontal="right" vertical="center" readingOrder="1"/>
    </xf>
    <xf numFmtId="0" fontId="86" fillId="43" borderId="100" xfId="315" applyFont="1" applyFill="1" applyBorder="1" applyAlignment="1">
      <alignment horizontal="left" vertical="top" readingOrder="1"/>
    </xf>
    <xf numFmtId="0" fontId="87" fillId="43" borderId="101" xfId="315" applyFont="1" applyFill="1" applyBorder="1" applyAlignment="1">
      <alignment horizontal="right" vertical="center" readingOrder="1"/>
    </xf>
    <xf numFmtId="0" fontId="86" fillId="43" borderId="114" xfId="315" applyFont="1" applyFill="1" applyBorder="1" applyAlignment="1">
      <alignment horizontal="left" vertical="top" readingOrder="1"/>
    </xf>
    <xf numFmtId="0" fontId="86" fillId="43" borderId="121" xfId="315" applyFont="1" applyFill="1" applyBorder="1" applyAlignment="1">
      <alignment horizontal="left" vertical="top" readingOrder="1"/>
    </xf>
    <xf numFmtId="0" fontId="87" fillId="43" borderId="0" xfId="315" applyFont="1" applyFill="1" applyAlignment="1">
      <alignment horizontal="right" vertical="center" readingOrder="1"/>
    </xf>
    <xf numFmtId="4" fontId="87" fillId="43" borderId="0" xfId="315" applyNumberFormat="1" applyFont="1" applyFill="1" applyAlignment="1">
      <alignment horizontal="center" vertical="center" readingOrder="1"/>
    </xf>
    <xf numFmtId="0" fontId="89" fillId="43" borderId="120" xfId="315" applyFont="1" applyFill="1" applyBorder="1" applyAlignment="1">
      <alignment horizontal="left" vertical="center" wrapText="1" readingOrder="1"/>
    </xf>
    <xf numFmtId="0" fontId="89" fillId="43" borderId="117" xfId="315" applyFont="1" applyFill="1" applyBorder="1" applyAlignment="1">
      <alignment horizontal="left" vertical="center" wrapText="1" readingOrder="1"/>
    </xf>
    <xf numFmtId="0" fontId="89" fillId="43" borderId="118" xfId="315" applyFont="1" applyFill="1" applyBorder="1" applyAlignment="1">
      <alignment horizontal="left" vertical="center" wrapText="1" readingOrder="1"/>
    </xf>
    <xf numFmtId="0" fontId="89" fillId="43" borderId="120" xfId="315" applyFont="1" applyFill="1" applyBorder="1" applyAlignment="1">
      <alignment horizontal="center" vertical="center" readingOrder="1"/>
    </xf>
    <xf numFmtId="0" fontId="89" fillId="43" borderId="118" xfId="315" applyFont="1" applyFill="1" applyBorder="1" applyAlignment="1">
      <alignment horizontal="center" vertical="center" readingOrder="1"/>
    </xf>
    <xf numFmtId="190" fontId="89" fillId="43" borderId="120" xfId="315" applyNumberFormat="1" applyFont="1" applyFill="1" applyBorder="1" applyAlignment="1">
      <alignment horizontal="center" vertical="center" readingOrder="1"/>
    </xf>
    <xf numFmtId="190" fontId="89" fillId="43" borderId="117" xfId="315" applyNumberFormat="1" applyFont="1" applyFill="1" applyBorder="1" applyAlignment="1">
      <alignment horizontal="center" vertical="center" readingOrder="1"/>
    </xf>
    <xf numFmtId="190" fontId="89" fillId="43" borderId="118" xfId="315" applyNumberFormat="1" applyFont="1" applyFill="1" applyBorder="1" applyAlignment="1">
      <alignment horizontal="center" vertical="center" readingOrder="1"/>
    </xf>
    <xf numFmtId="4" fontId="89" fillId="43" borderId="120" xfId="315" applyNumberFormat="1" applyFont="1" applyFill="1" applyBorder="1" applyAlignment="1">
      <alignment horizontal="right" vertical="center" readingOrder="1"/>
    </xf>
    <xf numFmtId="4" fontId="89" fillId="43" borderId="117" xfId="315" applyNumberFormat="1" applyFont="1" applyFill="1" applyBorder="1" applyAlignment="1">
      <alignment horizontal="right" vertical="center" readingOrder="1"/>
    </xf>
    <xf numFmtId="4" fontId="89" fillId="43" borderId="118" xfId="315" applyNumberFormat="1" applyFont="1" applyFill="1" applyBorder="1" applyAlignment="1">
      <alignment horizontal="right" vertical="center" readingOrder="1"/>
    </xf>
    <xf numFmtId="4" fontId="88" fillId="43" borderId="120" xfId="315" applyNumberFormat="1" applyFont="1" applyFill="1" applyBorder="1" applyAlignment="1">
      <alignment horizontal="right" vertical="center" readingOrder="1"/>
    </xf>
    <xf numFmtId="4" fontId="88" fillId="43" borderId="117" xfId="315" applyNumberFormat="1" applyFont="1" applyFill="1" applyBorder="1" applyAlignment="1">
      <alignment horizontal="right" vertical="center" readingOrder="1"/>
    </xf>
    <xf numFmtId="4" fontId="88" fillId="43" borderId="118" xfId="315" applyNumberFormat="1" applyFont="1" applyFill="1" applyBorder="1" applyAlignment="1">
      <alignment horizontal="right" vertical="center" readingOrder="1"/>
    </xf>
    <xf numFmtId="0" fontId="89" fillId="43" borderId="121" xfId="315" applyFont="1" applyFill="1" applyBorder="1" applyAlignment="1">
      <alignment horizontal="left" vertical="center" wrapText="1" readingOrder="1"/>
    </xf>
    <xf numFmtId="0" fontId="89" fillId="43" borderId="0" xfId="315" applyFont="1" applyFill="1" applyAlignment="1">
      <alignment horizontal="left" vertical="center" wrapText="1" readingOrder="1"/>
    </xf>
    <xf numFmtId="0" fontId="89" fillId="43" borderId="119" xfId="315" applyFont="1" applyFill="1" applyBorder="1" applyAlignment="1">
      <alignment horizontal="left" vertical="center" wrapText="1" readingOrder="1"/>
    </xf>
    <xf numFmtId="0" fontId="89" fillId="43" borderId="121" xfId="315" applyFont="1" applyFill="1" applyBorder="1" applyAlignment="1">
      <alignment horizontal="center" vertical="center" readingOrder="1"/>
    </xf>
    <xf numFmtId="0" fontId="89" fillId="43" borderId="119" xfId="315" applyFont="1" applyFill="1" applyBorder="1" applyAlignment="1">
      <alignment horizontal="center" vertical="center" readingOrder="1"/>
    </xf>
    <xf numFmtId="190" fontId="89" fillId="43" borderId="121" xfId="315" applyNumberFormat="1" applyFont="1" applyFill="1" applyBorder="1" applyAlignment="1">
      <alignment horizontal="center" vertical="center" readingOrder="1"/>
    </xf>
    <xf numFmtId="190" fontId="89" fillId="43" borderId="0" xfId="315" applyNumberFormat="1" applyFont="1" applyFill="1" applyAlignment="1">
      <alignment horizontal="center" vertical="center" readingOrder="1"/>
    </xf>
    <xf numFmtId="190" fontId="89" fillId="43" borderId="119" xfId="315" applyNumberFormat="1" applyFont="1" applyFill="1" applyBorder="1" applyAlignment="1">
      <alignment horizontal="center" vertical="center" readingOrder="1"/>
    </xf>
    <xf numFmtId="4" fontId="89" fillId="43" borderId="121" xfId="315" applyNumberFormat="1" applyFont="1" applyFill="1" applyBorder="1" applyAlignment="1">
      <alignment horizontal="right" vertical="center" readingOrder="1"/>
    </xf>
    <xf numFmtId="4" fontId="89" fillId="43" borderId="0" xfId="315" applyNumberFormat="1" applyFont="1" applyFill="1" applyAlignment="1">
      <alignment horizontal="right" vertical="center" readingOrder="1"/>
    </xf>
    <xf numFmtId="4" fontId="89" fillId="43" borderId="119" xfId="315" applyNumberFormat="1" applyFont="1" applyFill="1" applyBorder="1" applyAlignment="1">
      <alignment horizontal="right" vertical="center" readingOrder="1"/>
    </xf>
    <xf numFmtId="4" fontId="88" fillId="43" borderId="121" xfId="315" applyNumberFormat="1" applyFont="1" applyFill="1" applyBorder="1" applyAlignment="1">
      <alignment horizontal="right" vertical="center" readingOrder="1"/>
    </xf>
    <xf numFmtId="0" fontId="87" fillId="43" borderId="91" xfId="315" applyFont="1" applyFill="1" applyBorder="1" applyAlignment="1">
      <alignment horizontal="center" vertical="center" readingOrder="1"/>
    </xf>
    <xf numFmtId="0" fontId="87" fillId="43" borderId="91" xfId="315" applyFont="1" applyFill="1" applyBorder="1" applyAlignment="1">
      <alignment horizontal="center" vertical="center" wrapText="1" readingOrder="1"/>
    </xf>
    <xf numFmtId="0" fontId="92" fillId="43" borderId="101" xfId="315" applyFont="1" applyFill="1" applyBorder="1" applyAlignment="1">
      <alignment horizontal="left" vertical="center" readingOrder="1"/>
    </xf>
    <xf numFmtId="0" fontId="92" fillId="43" borderId="101" xfId="315" applyFont="1" applyFill="1" applyBorder="1" applyAlignment="1">
      <alignment horizontal="right" vertical="center" readingOrder="1"/>
    </xf>
    <xf numFmtId="0" fontId="92" fillId="43" borderId="117" xfId="315" applyFont="1" applyFill="1" applyBorder="1" applyAlignment="1">
      <alignment horizontal="left" vertical="center" readingOrder="1"/>
    </xf>
    <xf numFmtId="0" fontId="92" fillId="43" borderId="108" xfId="315" applyFont="1" applyFill="1" applyBorder="1" applyAlignment="1">
      <alignment horizontal="left" vertical="center" readingOrder="1"/>
    </xf>
    <xf numFmtId="0" fontId="92" fillId="43" borderId="117" xfId="315" applyFont="1" applyFill="1" applyBorder="1" applyAlignment="1">
      <alignment horizontal="left" vertical="center" wrapText="1" readingOrder="1"/>
    </xf>
    <xf numFmtId="0" fontId="92" fillId="43" borderId="108" xfId="315" applyFont="1" applyFill="1" applyBorder="1" applyAlignment="1">
      <alignment horizontal="left" vertical="center" wrapText="1" readingOrder="1"/>
    </xf>
    <xf numFmtId="0" fontId="93" fillId="43" borderId="117" xfId="315" applyFont="1" applyFill="1" applyBorder="1" applyAlignment="1">
      <alignment horizontal="right" vertical="center" readingOrder="1"/>
    </xf>
    <xf numFmtId="0" fontId="93" fillId="43" borderId="117" xfId="315" applyFont="1" applyFill="1" applyBorder="1" applyAlignment="1">
      <alignment horizontal="left" vertical="center" readingOrder="1"/>
    </xf>
    <xf numFmtId="0" fontId="93" fillId="43" borderId="108" xfId="315" applyFont="1" applyFill="1" applyBorder="1" applyAlignment="1">
      <alignment horizontal="right" vertical="center" readingOrder="1"/>
    </xf>
    <xf numFmtId="169" fontId="93" fillId="43" borderId="108" xfId="315" applyNumberFormat="1" applyFont="1" applyFill="1" applyBorder="1" applyAlignment="1">
      <alignment horizontal="left" vertical="center" readingOrder="1"/>
    </xf>
    <xf numFmtId="0" fontId="86" fillId="43" borderId="120" xfId="315" applyFont="1" applyFill="1" applyBorder="1" applyAlignment="1">
      <alignment horizontal="left" vertical="top" readingOrder="1"/>
    </xf>
    <xf numFmtId="0" fontId="86" fillId="43" borderId="117" xfId="315" applyFont="1" applyFill="1" applyBorder="1" applyAlignment="1">
      <alignment horizontal="left" vertical="top" readingOrder="1"/>
    </xf>
    <xf numFmtId="0" fontId="86" fillId="43" borderId="118" xfId="315" applyFont="1" applyFill="1" applyBorder="1" applyAlignment="1">
      <alignment horizontal="left" vertical="top" readingOrder="1"/>
    </xf>
    <xf numFmtId="0" fontId="86" fillId="43" borderId="0" xfId="315" applyFont="1" applyFill="1" applyAlignment="1">
      <alignment horizontal="left" vertical="top" readingOrder="1"/>
    </xf>
    <xf numFmtId="0" fontId="89" fillId="43" borderId="107" xfId="315" applyFont="1" applyFill="1" applyBorder="1" applyAlignment="1">
      <alignment horizontal="left" vertical="center" wrapText="1" readingOrder="1"/>
    </xf>
    <xf numFmtId="0" fontId="89" fillId="43" borderId="108" xfId="315" applyFont="1" applyFill="1" applyBorder="1" applyAlignment="1">
      <alignment horizontal="left" vertical="center" wrapText="1" readingOrder="1"/>
    </xf>
    <xf numFmtId="0" fontId="89" fillId="43" borderId="109" xfId="315" applyFont="1" applyFill="1" applyBorder="1" applyAlignment="1">
      <alignment horizontal="left" vertical="center" wrapText="1" readingOrder="1"/>
    </xf>
    <xf numFmtId="0" fontId="89" fillId="43" borderId="107" xfId="315" applyFont="1" applyFill="1" applyBorder="1" applyAlignment="1">
      <alignment horizontal="center" vertical="center" readingOrder="1"/>
    </xf>
    <xf numFmtId="0" fontId="89" fillId="43" borderId="109" xfId="315" applyFont="1" applyFill="1" applyBorder="1" applyAlignment="1">
      <alignment horizontal="center" vertical="center" readingOrder="1"/>
    </xf>
    <xf numFmtId="190" fontId="89" fillId="43" borderId="107" xfId="315" applyNumberFormat="1" applyFont="1" applyFill="1" applyBorder="1" applyAlignment="1">
      <alignment horizontal="center" vertical="center" readingOrder="1"/>
    </xf>
    <xf numFmtId="190" fontId="89" fillId="43" borderId="108" xfId="315" applyNumberFormat="1" applyFont="1" applyFill="1" applyBorder="1" applyAlignment="1">
      <alignment horizontal="center" vertical="center" readingOrder="1"/>
    </xf>
    <xf numFmtId="190" fontId="89" fillId="43" borderId="109" xfId="315" applyNumberFormat="1" applyFont="1" applyFill="1" applyBorder="1" applyAlignment="1">
      <alignment horizontal="center" vertical="center" readingOrder="1"/>
    </xf>
    <xf numFmtId="4" fontId="89" fillId="43" borderId="107" xfId="315" applyNumberFormat="1" applyFont="1" applyFill="1" applyBorder="1" applyAlignment="1">
      <alignment horizontal="right" vertical="center" readingOrder="1"/>
    </xf>
    <xf numFmtId="4" fontId="89" fillId="43" borderId="108" xfId="315" applyNumberFormat="1" applyFont="1" applyFill="1" applyBorder="1" applyAlignment="1">
      <alignment horizontal="right" vertical="center" readingOrder="1"/>
    </xf>
    <xf numFmtId="4" fontId="89" fillId="43" borderId="109" xfId="315" applyNumberFormat="1" applyFont="1" applyFill="1" applyBorder="1" applyAlignment="1">
      <alignment horizontal="right" vertical="center" readingOrder="1"/>
    </xf>
    <xf numFmtId="4" fontId="88" fillId="43" borderId="107" xfId="315" applyNumberFormat="1" applyFont="1" applyFill="1" applyBorder="1" applyAlignment="1">
      <alignment horizontal="right" vertical="center" readingOrder="1"/>
    </xf>
    <xf numFmtId="4" fontId="88" fillId="43" borderId="108" xfId="315" applyNumberFormat="1" applyFont="1" applyFill="1" applyBorder="1" applyAlignment="1">
      <alignment horizontal="right" vertical="center" readingOrder="1"/>
    </xf>
    <xf numFmtId="4" fontId="88" fillId="43" borderId="109" xfId="315" applyNumberFormat="1" applyFont="1" applyFill="1" applyBorder="1" applyAlignment="1">
      <alignment horizontal="right" vertical="center" readingOrder="1"/>
    </xf>
    <xf numFmtId="0" fontId="86" fillId="43" borderId="101" xfId="315" applyFont="1" applyFill="1" applyBorder="1" applyAlignment="1">
      <alignment horizontal="left" vertical="top" readingOrder="1"/>
    </xf>
    <xf numFmtId="4" fontId="88" fillId="43" borderId="101" xfId="315" applyNumberFormat="1" applyFont="1" applyFill="1" applyBorder="1" applyAlignment="1">
      <alignment horizontal="right" vertical="center" readingOrder="1"/>
    </xf>
    <xf numFmtId="4" fontId="88" fillId="43" borderId="102" xfId="315" applyNumberFormat="1" applyFont="1" applyFill="1" applyBorder="1" applyAlignment="1">
      <alignment horizontal="right" vertical="center" readingOrder="1"/>
    </xf>
    <xf numFmtId="0" fontId="92" fillId="43" borderId="101" xfId="315" applyFont="1" applyFill="1" applyBorder="1" applyAlignment="1">
      <alignment horizontal="left" vertical="center" wrapText="1" readingOrder="1"/>
    </xf>
    <xf numFmtId="0" fontId="89" fillId="43" borderId="91" xfId="315" applyFont="1" applyFill="1" applyBorder="1" applyAlignment="1">
      <alignment horizontal="left" vertical="center" wrapText="1" readingOrder="1"/>
    </xf>
    <xf numFmtId="190" fontId="89" fillId="43" borderId="91" xfId="315" applyNumberFormat="1" applyFont="1" applyFill="1" applyBorder="1" applyAlignment="1">
      <alignment horizontal="center" vertical="center" readingOrder="1"/>
    </xf>
    <xf numFmtId="4" fontId="89" fillId="43" borderId="91" xfId="315" applyNumberFormat="1" applyFont="1" applyFill="1" applyBorder="1" applyAlignment="1">
      <alignment horizontal="center" vertical="center" readingOrder="1"/>
    </xf>
    <xf numFmtId="4" fontId="89" fillId="43" borderId="91" xfId="315" applyNumberFormat="1" applyFont="1" applyFill="1" applyBorder="1" applyAlignment="1">
      <alignment horizontal="right" vertical="center" readingOrder="1"/>
    </xf>
    <xf numFmtId="4" fontId="88" fillId="43" borderId="91" xfId="315" applyNumberFormat="1" applyFont="1" applyFill="1" applyBorder="1" applyAlignment="1">
      <alignment horizontal="right" vertical="center" readingOrder="1"/>
    </xf>
    <xf numFmtId="0" fontId="94" fillId="43" borderId="114" xfId="315" applyFont="1" applyFill="1" applyBorder="1" applyAlignment="1">
      <alignment horizontal="left" vertical="center" wrapText="1" readingOrder="1"/>
    </xf>
    <xf numFmtId="0" fontId="94" fillId="43" borderId="114" xfId="315" applyFont="1" applyFill="1" applyBorder="1" applyAlignment="1">
      <alignment horizontal="center" vertical="center" readingOrder="1"/>
    </xf>
    <xf numFmtId="190" fontId="94" fillId="43" borderId="114" xfId="315" applyNumberFormat="1" applyFont="1" applyFill="1" applyBorder="1" applyAlignment="1">
      <alignment horizontal="center" vertical="center" readingOrder="1"/>
    </xf>
    <xf numFmtId="4" fontId="93" fillId="43" borderId="114" xfId="315" applyNumberFormat="1" applyFont="1" applyFill="1" applyBorder="1" applyAlignment="1">
      <alignment horizontal="right" vertical="center" readingOrder="1"/>
    </xf>
    <xf numFmtId="0" fontId="94" fillId="43" borderId="115" xfId="315" applyFont="1" applyFill="1" applyBorder="1" applyAlignment="1">
      <alignment horizontal="left" vertical="center" wrapText="1" readingOrder="1"/>
    </xf>
    <xf numFmtId="0" fontId="94" fillId="43" borderId="115" xfId="315" applyFont="1" applyFill="1" applyBorder="1" applyAlignment="1">
      <alignment horizontal="center" vertical="center" readingOrder="1"/>
    </xf>
    <xf numFmtId="190" fontId="94" fillId="43" borderId="115" xfId="315" applyNumberFormat="1" applyFont="1" applyFill="1" applyBorder="1" applyAlignment="1">
      <alignment horizontal="center" vertical="center" readingOrder="1"/>
    </xf>
    <xf numFmtId="4" fontId="93" fillId="43" borderId="121" xfId="315" applyNumberFormat="1" applyFont="1" applyFill="1" applyBorder="1" applyAlignment="1">
      <alignment horizontal="right" vertical="center" readingOrder="1"/>
    </xf>
    <xf numFmtId="4" fontId="93" fillId="43" borderId="0" xfId="315" applyNumberFormat="1" applyFont="1" applyFill="1" applyAlignment="1">
      <alignment horizontal="right" vertical="center" readingOrder="1"/>
    </xf>
    <xf numFmtId="4" fontId="93" fillId="43" borderId="119" xfId="315" applyNumberFormat="1" applyFont="1" applyFill="1" applyBorder="1" applyAlignment="1">
      <alignment horizontal="right" vertical="center" readingOrder="1"/>
    </xf>
    <xf numFmtId="0" fontId="92" fillId="43" borderId="91" xfId="315" applyFont="1" applyFill="1" applyBorder="1" applyAlignment="1">
      <alignment horizontal="center" vertical="center" readingOrder="1"/>
    </xf>
    <xf numFmtId="0" fontId="92" fillId="43" borderId="91" xfId="315" applyFont="1" applyFill="1" applyBorder="1" applyAlignment="1">
      <alignment horizontal="center" vertical="center" wrapText="1" readingOrder="1"/>
    </xf>
    <xf numFmtId="0" fontId="91" fillId="43" borderId="121" xfId="315" applyFont="1" applyFill="1" applyBorder="1" applyAlignment="1">
      <alignment horizontal="left" vertical="top" readingOrder="1"/>
    </xf>
    <xf numFmtId="0" fontId="92" fillId="43" borderId="0" xfId="315" applyFont="1" applyFill="1" applyAlignment="1">
      <alignment horizontal="right" vertical="center" readingOrder="1"/>
    </xf>
    <xf numFmtId="0" fontId="91" fillId="43" borderId="114" xfId="315" applyFont="1" applyFill="1" applyBorder="1" applyAlignment="1">
      <alignment horizontal="left" vertical="top" readingOrder="1"/>
    </xf>
    <xf numFmtId="4" fontId="92" fillId="43" borderId="0" xfId="315" applyNumberFormat="1" applyFont="1" applyFill="1" applyAlignment="1">
      <alignment horizontal="center" vertical="center" readingOrder="1"/>
    </xf>
    <xf numFmtId="0" fontId="94" fillId="43" borderId="94" xfId="315" applyFont="1" applyFill="1" applyBorder="1" applyAlignment="1">
      <alignment horizontal="left" vertical="center" wrapText="1" readingOrder="1"/>
    </xf>
    <xf numFmtId="0" fontId="94" fillId="43" borderId="94" xfId="315" applyFont="1" applyFill="1" applyBorder="1" applyAlignment="1">
      <alignment horizontal="center" vertical="center" readingOrder="1"/>
    </xf>
    <xf numFmtId="190" fontId="94" fillId="43" borderId="94" xfId="315" applyNumberFormat="1" applyFont="1" applyFill="1" applyBorder="1" applyAlignment="1">
      <alignment horizontal="center" vertical="center" readingOrder="1"/>
    </xf>
    <xf numFmtId="4" fontId="93" fillId="43" borderId="107" xfId="315" applyNumberFormat="1" applyFont="1" applyFill="1" applyBorder="1" applyAlignment="1">
      <alignment horizontal="right" vertical="center" readingOrder="1"/>
    </xf>
    <xf numFmtId="4" fontId="93" fillId="43" borderId="108" xfId="315" applyNumberFormat="1" applyFont="1" applyFill="1" applyBorder="1" applyAlignment="1">
      <alignment horizontal="right" vertical="center" readingOrder="1"/>
    </xf>
    <xf numFmtId="4" fontId="93" fillId="43" borderId="109" xfId="315" applyNumberFormat="1" applyFont="1" applyFill="1" applyBorder="1" applyAlignment="1">
      <alignment horizontal="right" vertical="center" readingOrder="1"/>
    </xf>
    <xf numFmtId="0" fontId="91" fillId="43" borderId="100" xfId="315" applyFont="1" applyFill="1" applyBorder="1" applyAlignment="1">
      <alignment horizontal="left" vertical="top" readingOrder="1"/>
    </xf>
    <xf numFmtId="4" fontId="93" fillId="43" borderId="102" xfId="315" applyNumberFormat="1" applyFont="1" applyFill="1" applyBorder="1" applyAlignment="1">
      <alignment horizontal="right" vertical="center" readingOrder="1"/>
    </xf>
    <xf numFmtId="0" fontId="89" fillId="43" borderId="114" xfId="315" applyFont="1" applyFill="1" applyBorder="1" applyAlignment="1">
      <alignment horizontal="left" vertical="center" wrapText="1" readingOrder="1"/>
    </xf>
    <xf numFmtId="0" fontId="89" fillId="43" borderId="114" xfId="315" applyFont="1" applyFill="1" applyBorder="1" applyAlignment="1">
      <alignment horizontal="center" vertical="center" readingOrder="1"/>
    </xf>
    <xf numFmtId="190" fontId="89" fillId="43" borderId="114" xfId="315" applyNumberFormat="1" applyFont="1" applyFill="1" applyBorder="1" applyAlignment="1">
      <alignment horizontal="center" vertical="center" readingOrder="1"/>
    </xf>
    <xf numFmtId="4" fontId="89" fillId="43" borderId="114" xfId="315" applyNumberFormat="1" applyFont="1" applyFill="1" applyBorder="1" applyAlignment="1">
      <alignment horizontal="right" vertical="center" readingOrder="1"/>
    </xf>
    <xf numFmtId="4" fontId="88" fillId="43" borderId="114" xfId="315" applyNumberFormat="1" applyFont="1" applyFill="1" applyBorder="1" applyAlignment="1">
      <alignment horizontal="right" vertical="center" readingOrder="1"/>
    </xf>
    <xf numFmtId="0" fontId="89" fillId="43" borderId="115" xfId="315" applyFont="1" applyFill="1" applyBorder="1" applyAlignment="1">
      <alignment horizontal="left" vertical="center" wrapText="1" readingOrder="1"/>
    </xf>
    <xf numFmtId="0" fontId="89" fillId="43" borderId="115" xfId="315" applyFont="1" applyFill="1" applyBorder="1" applyAlignment="1">
      <alignment horizontal="center" vertical="center" readingOrder="1"/>
    </xf>
    <xf numFmtId="190" fontId="89" fillId="43" borderId="115" xfId="315" applyNumberFormat="1" applyFont="1" applyFill="1" applyBorder="1" applyAlignment="1">
      <alignment horizontal="center" vertical="center" readingOrder="1"/>
    </xf>
    <xf numFmtId="4" fontId="89" fillId="43" borderId="115" xfId="315" applyNumberFormat="1" applyFont="1" applyFill="1" applyBorder="1" applyAlignment="1">
      <alignment horizontal="right" vertical="center" readingOrder="1"/>
    </xf>
    <xf numFmtId="0" fontId="89" fillId="43" borderId="94" xfId="315" applyFont="1" applyFill="1" applyBorder="1" applyAlignment="1">
      <alignment horizontal="left" vertical="center" wrapText="1" readingOrder="1"/>
    </xf>
    <xf numFmtId="0" fontId="89" fillId="43" borderId="94" xfId="315" applyFont="1" applyFill="1" applyBorder="1" applyAlignment="1">
      <alignment horizontal="center" vertical="center" readingOrder="1"/>
    </xf>
    <xf numFmtId="190" fontId="89" fillId="43" borderId="94" xfId="315" applyNumberFormat="1" applyFont="1" applyFill="1" applyBorder="1" applyAlignment="1">
      <alignment horizontal="center" vertical="center" readingOrder="1"/>
    </xf>
    <xf numFmtId="4" fontId="89" fillId="43" borderId="94" xfId="315" applyNumberFormat="1" applyFont="1" applyFill="1" applyBorder="1" applyAlignment="1">
      <alignment horizontal="right" vertical="center" readingOrder="1"/>
    </xf>
    <xf numFmtId="4" fontId="88" fillId="43" borderId="115" xfId="315" applyNumberFormat="1" applyFont="1" applyFill="1" applyBorder="1" applyAlignment="1">
      <alignment horizontal="right" vertical="center" readingOrder="1"/>
    </xf>
    <xf numFmtId="0" fontId="89" fillId="43" borderId="91" xfId="315" applyFont="1" applyFill="1" applyBorder="1" applyAlignment="1">
      <alignment horizontal="center" vertical="center" readingOrder="1"/>
    </xf>
    <xf numFmtId="0" fontId="87" fillId="43" borderId="101" xfId="0" applyNumberFormat="1" applyFont="1" applyFill="1" applyBorder="1" applyAlignment="1" applyProtection="1">
      <alignment horizontal="left" vertical="center" readingOrder="1"/>
    </xf>
    <xf numFmtId="0" fontId="89" fillId="43" borderId="114" xfId="0" applyNumberFormat="1" applyFont="1" applyFill="1" applyBorder="1" applyAlignment="1" applyProtection="1">
      <alignment horizontal="left" vertical="center" wrapText="1" readingOrder="1"/>
    </xf>
    <xf numFmtId="0" fontId="89" fillId="43" borderId="114" xfId="0" applyNumberFormat="1" applyFont="1" applyFill="1" applyBorder="1" applyAlignment="1" applyProtection="1">
      <alignment horizontal="center" vertical="center" readingOrder="1"/>
    </xf>
    <xf numFmtId="190" fontId="89" fillId="43" borderId="114" xfId="0" applyNumberFormat="1" applyFont="1" applyFill="1" applyBorder="1" applyAlignment="1" applyProtection="1">
      <alignment horizontal="center" vertical="center" readingOrder="1"/>
    </xf>
    <xf numFmtId="4" fontId="89" fillId="43" borderId="114" xfId="0" applyNumberFormat="1" applyFont="1" applyFill="1" applyBorder="1" applyAlignment="1" applyProtection="1">
      <alignment horizontal="right" vertical="center" readingOrder="1"/>
    </xf>
    <xf numFmtId="4" fontId="88" fillId="43" borderId="114" xfId="0" applyNumberFormat="1" applyFont="1" applyFill="1" applyBorder="1" applyAlignment="1" applyProtection="1">
      <alignment horizontal="right" vertical="center" readingOrder="1"/>
    </xf>
    <xf numFmtId="0" fontId="89" fillId="43" borderId="115" xfId="0" applyNumberFormat="1" applyFont="1" applyFill="1" applyBorder="1" applyAlignment="1" applyProtection="1">
      <alignment horizontal="left" vertical="center" wrapText="1" readingOrder="1"/>
    </xf>
    <xf numFmtId="0" fontId="89" fillId="43" borderId="115" xfId="0" applyNumberFormat="1" applyFont="1" applyFill="1" applyBorder="1" applyAlignment="1" applyProtection="1">
      <alignment horizontal="center" vertical="center" readingOrder="1"/>
    </xf>
    <xf numFmtId="190" fontId="89" fillId="43" borderId="115" xfId="0" applyNumberFormat="1" applyFont="1" applyFill="1" applyBorder="1" applyAlignment="1" applyProtection="1">
      <alignment horizontal="center" vertical="center" readingOrder="1"/>
    </xf>
    <xf numFmtId="4" fontId="89" fillId="43" borderId="115" xfId="0" applyNumberFormat="1" applyFont="1" applyFill="1" applyBorder="1" applyAlignment="1" applyProtection="1">
      <alignment horizontal="right" vertical="center" readingOrder="1"/>
    </xf>
    <xf numFmtId="4" fontId="88" fillId="43" borderId="115" xfId="0" applyNumberFormat="1" applyFont="1" applyFill="1" applyBorder="1" applyAlignment="1" applyProtection="1">
      <alignment horizontal="right" vertical="center" readingOrder="1"/>
    </xf>
    <xf numFmtId="0" fontId="88" fillId="43" borderId="108" xfId="0" applyNumberFormat="1" applyFont="1" applyFill="1" applyBorder="1" applyAlignment="1" applyProtection="1">
      <alignment horizontal="right" vertical="center" readingOrder="1"/>
    </xf>
    <xf numFmtId="0" fontId="87" fillId="43" borderId="91" xfId="0" applyNumberFormat="1" applyFont="1" applyFill="1" applyBorder="1" applyAlignment="1" applyProtection="1">
      <alignment horizontal="center" vertical="center" readingOrder="1"/>
    </xf>
    <xf numFmtId="0" fontId="87" fillId="43" borderId="91" xfId="0" applyNumberFormat="1" applyFont="1" applyFill="1" applyBorder="1" applyAlignment="1" applyProtection="1">
      <alignment horizontal="center" vertical="center" wrapText="1" readingOrder="1"/>
    </xf>
    <xf numFmtId="0" fontId="87" fillId="43" borderId="101" xfId="0" applyNumberFormat="1" applyFont="1" applyFill="1" applyBorder="1" applyAlignment="1" applyProtection="1">
      <alignment horizontal="left" vertical="center" wrapText="1" readingOrder="1"/>
    </xf>
    <xf numFmtId="0" fontId="88" fillId="43" borderId="117" xfId="0" applyNumberFormat="1" applyFont="1" applyFill="1" applyBorder="1" applyAlignment="1" applyProtection="1">
      <alignment horizontal="right" vertical="center" readingOrder="1"/>
    </xf>
    <xf numFmtId="0" fontId="88" fillId="43" borderId="117" xfId="0" applyNumberFormat="1" applyFont="1" applyFill="1" applyBorder="1" applyAlignment="1" applyProtection="1">
      <alignment horizontal="left" vertical="center" readingOrder="1"/>
    </xf>
    <xf numFmtId="169" fontId="88" fillId="43" borderId="108" xfId="0" applyNumberFormat="1" applyFont="1" applyFill="1" applyBorder="1" applyAlignment="1" applyProtection="1">
      <alignment horizontal="left" vertical="center" readingOrder="1"/>
    </xf>
    <xf numFmtId="0" fontId="86" fillId="43" borderId="114" xfId="0" applyNumberFormat="1" applyFont="1" applyFill="1" applyBorder="1" applyAlignment="1" applyProtection="1">
      <alignment horizontal="left" vertical="top" readingOrder="1"/>
    </xf>
    <xf numFmtId="0" fontId="86" fillId="43" borderId="121" xfId="0" applyNumberFormat="1" applyFont="1" applyFill="1" applyBorder="1" applyAlignment="1" applyProtection="1">
      <alignment horizontal="left" vertical="top" readingOrder="1"/>
    </xf>
    <xf numFmtId="0" fontId="87" fillId="43" borderId="0" xfId="0" applyNumberFormat="1" applyFont="1" applyFill="1" applyBorder="1" applyAlignment="1" applyProtection="1">
      <alignment horizontal="right" vertical="center" readingOrder="1"/>
    </xf>
    <xf numFmtId="4" fontId="88" fillId="43" borderId="119" xfId="0" applyNumberFormat="1" applyFont="1" applyFill="1" applyBorder="1" applyAlignment="1" applyProtection="1">
      <alignment horizontal="right" vertical="center" readingOrder="1"/>
    </xf>
    <xf numFmtId="4" fontId="87" fillId="43" borderId="0" xfId="0" applyNumberFormat="1" applyFont="1" applyFill="1" applyBorder="1" applyAlignment="1" applyProtection="1">
      <alignment horizontal="center" vertical="center" readingOrder="1"/>
    </xf>
    <xf numFmtId="0" fontId="89" fillId="43" borderId="94" xfId="0" applyNumberFormat="1" applyFont="1" applyFill="1" applyBorder="1" applyAlignment="1" applyProtection="1">
      <alignment horizontal="left" vertical="center" wrapText="1" readingOrder="1"/>
    </xf>
    <xf numFmtId="0" fontId="89" fillId="43" borderId="94" xfId="0" applyNumberFormat="1" applyFont="1" applyFill="1" applyBorder="1" applyAlignment="1" applyProtection="1">
      <alignment horizontal="center" vertical="center" readingOrder="1"/>
    </xf>
    <xf numFmtId="190" fontId="89" fillId="43" borderId="94" xfId="0" applyNumberFormat="1" applyFont="1" applyFill="1" applyBorder="1" applyAlignment="1" applyProtection="1">
      <alignment horizontal="center" vertical="center" readingOrder="1"/>
    </xf>
    <xf numFmtId="4" fontId="89" fillId="43" borderId="94" xfId="0" applyNumberFormat="1" applyFont="1" applyFill="1" applyBorder="1" applyAlignment="1" applyProtection="1">
      <alignment horizontal="right" vertical="center" readingOrder="1"/>
    </xf>
    <xf numFmtId="4" fontId="88" fillId="43" borderId="94" xfId="0" applyNumberFormat="1" applyFont="1" applyFill="1" applyBorder="1" applyAlignment="1" applyProtection="1">
      <alignment horizontal="right" vertical="center" readingOrder="1"/>
    </xf>
    <xf numFmtId="0" fontId="86" fillId="43" borderId="100" xfId="0" applyNumberFormat="1" applyFont="1" applyFill="1" applyBorder="1" applyAlignment="1" applyProtection="1">
      <alignment horizontal="left" vertical="top" readingOrder="1"/>
    </xf>
    <xf numFmtId="0" fontId="87" fillId="43" borderId="101" xfId="0" applyNumberFormat="1" applyFont="1" applyFill="1" applyBorder="1" applyAlignment="1" applyProtection="1">
      <alignment horizontal="right" vertical="center" readingOrder="1"/>
    </xf>
    <xf numFmtId="4" fontId="88" fillId="43" borderId="102" xfId="0" applyNumberFormat="1" applyFont="1" applyFill="1" applyBorder="1" applyAlignment="1" applyProtection="1">
      <alignment horizontal="right" vertical="center" readingOrder="1"/>
    </xf>
    <xf numFmtId="4" fontId="88" fillId="43" borderId="94" xfId="315" applyNumberFormat="1" applyFont="1" applyFill="1" applyBorder="1" applyAlignment="1">
      <alignment horizontal="right" vertical="center" readingOrder="1"/>
    </xf>
    <xf numFmtId="4" fontId="88" fillId="43" borderId="121" xfId="0" applyNumberFormat="1" applyFont="1" applyFill="1" applyBorder="1" applyAlignment="1" applyProtection="1">
      <alignment horizontal="right" vertical="center" readingOrder="1"/>
    </xf>
    <xf numFmtId="4" fontId="88" fillId="43" borderId="0" xfId="0" applyNumberFormat="1" applyFont="1" applyFill="1" applyBorder="1" applyAlignment="1" applyProtection="1">
      <alignment horizontal="right" vertical="center" readingOrder="1"/>
    </xf>
    <xf numFmtId="4" fontId="88" fillId="43" borderId="107" xfId="0" applyNumberFormat="1" applyFont="1" applyFill="1" applyBorder="1" applyAlignment="1" applyProtection="1">
      <alignment horizontal="right" vertical="center" readingOrder="1"/>
    </xf>
    <xf numFmtId="4" fontId="88" fillId="43" borderId="108" xfId="0" applyNumberFormat="1" applyFont="1" applyFill="1" applyBorder="1" applyAlignment="1" applyProtection="1">
      <alignment horizontal="right" vertical="center" readingOrder="1"/>
    </xf>
    <xf numFmtId="4" fontId="88" fillId="43" borderId="109" xfId="0" applyNumberFormat="1" applyFont="1" applyFill="1" applyBorder="1" applyAlignment="1" applyProtection="1">
      <alignment horizontal="right" vertical="center" readingOrder="1"/>
    </xf>
  </cellXfs>
  <cellStyles count="1092">
    <cellStyle name=" 1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 3" xfId="10"/>
    <cellStyle name="20% - Ênfase1 2 4" xfId="11"/>
    <cellStyle name="20% - Ênfase1 2_Compo" xfId="12"/>
    <cellStyle name="20% - Ênfase1 3" xfId="13"/>
    <cellStyle name="20% - Ênfase1 4" xfId="14"/>
    <cellStyle name="20% - Ênfase1 5" xfId="15"/>
    <cellStyle name="20% - Ênfase2 2" xfId="16"/>
    <cellStyle name="20% - Ênfase2 2 2" xfId="17"/>
    <cellStyle name="20% - Ênfase2 2 3" xfId="18"/>
    <cellStyle name="20% - Ênfase2 2 4" xfId="19"/>
    <cellStyle name="20% - Ênfase2 2_Compo" xfId="20"/>
    <cellStyle name="20% - Ênfase2 3" xfId="21"/>
    <cellStyle name="20% - Ênfase2 4" xfId="22"/>
    <cellStyle name="20% - Ênfase2 5" xfId="23"/>
    <cellStyle name="20% - Ênfase3 2" xfId="24"/>
    <cellStyle name="20% - Ênfase3 2 2" xfId="25"/>
    <cellStyle name="20% - Ênfase3 2 3" xfId="26"/>
    <cellStyle name="20% - Ênfase3 2 4" xfId="27"/>
    <cellStyle name="20% - Ênfase3 2_Compo" xfId="28"/>
    <cellStyle name="20% - Ênfase3 3" xfId="29"/>
    <cellStyle name="20% - Ênfase3 4" xfId="30"/>
    <cellStyle name="20% - Ênfase3 5" xfId="31"/>
    <cellStyle name="20% - Ênfase4 2" xfId="32"/>
    <cellStyle name="20% - Ênfase4 2 2" xfId="33"/>
    <cellStyle name="20% - Ênfase4 2 3" xfId="34"/>
    <cellStyle name="20% - Ênfase4 2 4" xfId="35"/>
    <cellStyle name="20% - Ênfase4 2_Compo" xfId="36"/>
    <cellStyle name="20% - Ênfase4 3" xfId="37"/>
    <cellStyle name="20% - Ênfase4 4" xfId="38"/>
    <cellStyle name="20% - Ênfase4 5" xfId="39"/>
    <cellStyle name="20% - Ênfase5 2" xfId="40"/>
    <cellStyle name="20% - Ênfase5 2 2" xfId="41"/>
    <cellStyle name="20% - Ênfase5 2 3" xfId="42"/>
    <cellStyle name="20% - Ênfase5 2 4" xfId="43"/>
    <cellStyle name="20% - Ênfase5 2_Compo" xfId="44"/>
    <cellStyle name="20% - Ênfase5 3" xfId="45"/>
    <cellStyle name="20% - Ênfase5 4" xfId="46"/>
    <cellStyle name="20% - Ênfase5 5" xfId="47"/>
    <cellStyle name="20% - Ênfase6 2" xfId="48"/>
    <cellStyle name="20% - Ênfase6 2 2" xfId="49"/>
    <cellStyle name="20% - Ênfase6 2 3" xfId="50"/>
    <cellStyle name="20% - Ênfase6 2 4" xfId="51"/>
    <cellStyle name="20% - Ênfase6 2_Compo" xfId="52"/>
    <cellStyle name="20% - Ênfase6 3" xfId="53"/>
    <cellStyle name="20% - Ênfase6 4" xfId="54"/>
    <cellStyle name="20% - Ênfase6 5" xfId="55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40% - Ênfase1 2" xfId="62"/>
    <cellStyle name="40% - Ênfase1 2 2" xfId="63"/>
    <cellStyle name="40% - Ênfase1 2 3" xfId="64"/>
    <cellStyle name="40% - Ênfase1 2 4" xfId="65"/>
    <cellStyle name="40% - Ênfase1 2_Compo" xfId="66"/>
    <cellStyle name="40% - Ênfase1 3" xfId="67"/>
    <cellStyle name="40% - Ênfase1 4" xfId="68"/>
    <cellStyle name="40% - Ênfase1 5" xfId="69"/>
    <cellStyle name="40% - Ênfase2 2" xfId="70"/>
    <cellStyle name="40% - Ênfase2 2 2" xfId="71"/>
    <cellStyle name="40% - Ênfase2 2 3" xfId="72"/>
    <cellStyle name="40% - Ênfase2 2 4" xfId="73"/>
    <cellStyle name="40% - Ênfase2 2_Compo" xfId="74"/>
    <cellStyle name="40% - Ênfase2 3" xfId="75"/>
    <cellStyle name="40% - Ênfase2 4" xfId="76"/>
    <cellStyle name="40% - Ênfase2 5" xfId="77"/>
    <cellStyle name="40% - Ênfase3 2" xfId="78"/>
    <cellStyle name="40% - Ênfase3 2 2" xfId="79"/>
    <cellStyle name="40% - Ênfase3 2 3" xfId="80"/>
    <cellStyle name="40% - Ênfase3 2 4" xfId="81"/>
    <cellStyle name="40% - Ênfase3 2_Compo" xfId="82"/>
    <cellStyle name="40% - Ênfase3 3" xfId="83"/>
    <cellStyle name="40% - Ênfase3 4" xfId="84"/>
    <cellStyle name="40% - Ênfase3 5" xfId="85"/>
    <cellStyle name="40% - Ênfase4 2" xfId="86"/>
    <cellStyle name="40% - Ênfase4 2 2" xfId="87"/>
    <cellStyle name="40% - Ênfase4 2 3" xfId="88"/>
    <cellStyle name="40% - Ênfase4 2 4" xfId="89"/>
    <cellStyle name="40% - Ênfase4 2_Compo" xfId="90"/>
    <cellStyle name="40% - Ênfase4 3" xfId="91"/>
    <cellStyle name="40% - Ênfase4 4" xfId="92"/>
    <cellStyle name="40% - Ênfase4 5" xfId="93"/>
    <cellStyle name="40% - Ênfase5 2" xfId="94"/>
    <cellStyle name="40% - Ênfase5 2 2" xfId="95"/>
    <cellStyle name="40% - Ênfase5 2 3" xfId="96"/>
    <cellStyle name="40% - Ênfase5 2 4" xfId="97"/>
    <cellStyle name="40% - Ênfase5 2_Compo" xfId="98"/>
    <cellStyle name="40% - Ênfase5 3" xfId="99"/>
    <cellStyle name="40% - Ênfase5 4" xfId="100"/>
    <cellStyle name="40% - Ênfase5 5" xfId="101"/>
    <cellStyle name="40% - Ênfase6 2" xfId="102"/>
    <cellStyle name="40% - Ênfase6 2 2" xfId="103"/>
    <cellStyle name="40% - Ênfase6 2 3" xfId="104"/>
    <cellStyle name="40% - Ênfase6 2 4" xfId="105"/>
    <cellStyle name="40% - Ênfase6 2_Compo" xfId="106"/>
    <cellStyle name="40% - Ênfase6 3" xfId="107"/>
    <cellStyle name="40% - Ênfase6 4" xfId="108"/>
    <cellStyle name="40% - Ênfase6 5" xfId="109"/>
    <cellStyle name="60% - Accent1" xfId="110"/>
    <cellStyle name="60% - Accent2" xfId="111"/>
    <cellStyle name="60% - Accent3" xfId="112"/>
    <cellStyle name="60% - Accent4" xfId="113"/>
    <cellStyle name="60% - Accent5" xfId="114"/>
    <cellStyle name="60% - Accent6" xfId="115"/>
    <cellStyle name="60% - Ênfase1 2" xfId="116"/>
    <cellStyle name="60% - Ênfase1 2 2" xfId="117"/>
    <cellStyle name="60% - Ênfase1 2 3" xfId="118"/>
    <cellStyle name="60% - Ênfase1 2_ORÇAMENTO - FORUM DE V. GRANDE" xfId="119"/>
    <cellStyle name="60% - Ênfase1 3" xfId="120"/>
    <cellStyle name="60% - Ênfase1 4" xfId="121"/>
    <cellStyle name="60% - Ênfase1 5" xfId="122"/>
    <cellStyle name="60% - Ênfase1 6" xfId="123"/>
    <cellStyle name="60% - Ênfase2 2" xfId="124"/>
    <cellStyle name="60% - Ênfase2 2 2" xfId="125"/>
    <cellStyle name="60% - Ênfase2 2 3" xfId="126"/>
    <cellStyle name="60% - Ênfase2 2_ORÇAMENTO - FORUM DE V. GRANDE" xfId="127"/>
    <cellStyle name="60% - Ênfase2 3" xfId="128"/>
    <cellStyle name="60% - Ênfase2 4" xfId="129"/>
    <cellStyle name="60% - Ênfase2 5" xfId="130"/>
    <cellStyle name="60% - Ênfase2 6" xfId="131"/>
    <cellStyle name="60% - Ênfase3 2" xfId="132"/>
    <cellStyle name="60% - Ênfase3 2 2" xfId="133"/>
    <cellStyle name="60% - Ênfase3 2 3" xfId="134"/>
    <cellStyle name="60% - Ênfase3 2_ORÇAMENTO - FORUM DE V. GRANDE" xfId="135"/>
    <cellStyle name="60% - Ênfase3 3" xfId="136"/>
    <cellStyle name="60% - Ênfase3 4" xfId="137"/>
    <cellStyle name="60% - Ênfase3 5" xfId="138"/>
    <cellStyle name="60% - Ênfase3 6" xfId="139"/>
    <cellStyle name="60% - Ênfase4 2" xfId="140"/>
    <cellStyle name="60% - Ênfase4 2 2" xfId="141"/>
    <cellStyle name="60% - Ênfase4 2 3" xfId="142"/>
    <cellStyle name="60% - Ênfase4 2_ORÇAMENTO - FORUM DE V. GRANDE" xfId="143"/>
    <cellStyle name="60% - Ênfase4 3" xfId="144"/>
    <cellStyle name="60% - Ênfase4 4" xfId="145"/>
    <cellStyle name="60% - Ênfase4 5" xfId="146"/>
    <cellStyle name="60% - Ênfase4 6" xfId="147"/>
    <cellStyle name="60% - Ênfase5 2" xfId="148"/>
    <cellStyle name="60% - Ênfase5 2 2" xfId="149"/>
    <cellStyle name="60% - Ênfase5 2 3" xfId="150"/>
    <cellStyle name="60% - Ênfase5 2_ORÇAMENTO - FORUM DE V. GRANDE" xfId="151"/>
    <cellStyle name="60% - Ênfase5 3" xfId="152"/>
    <cellStyle name="60% - Ênfase5 4" xfId="153"/>
    <cellStyle name="60% - Ênfase5 5" xfId="154"/>
    <cellStyle name="60% - Ênfase5 6" xfId="155"/>
    <cellStyle name="60% - Ênfase6 2" xfId="156"/>
    <cellStyle name="60% - Ênfase6 2 2" xfId="157"/>
    <cellStyle name="60% - Ênfase6 2 3" xfId="158"/>
    <cellStyle name="60% - Ênfase6 2_ORÇAMENTO - FORUM DE V. GRANDE" xfId="159"/>
    <cellStyle name="60% - Ênfase6 3" xfId="160"/>
    <cellStyle name="60% - Ênfase6 4" xfId="161"/>
    <cellStyle name="60% - Ênfase6 5" xfId="162"/>
    <cellStyle name="60% - Ênfase6 6" xfId="163"/>
    <cellStyle name="Accent1" xfId="164"/>
    <cellStyle name="Accent2" xfId="165"/>
    <cellStyle name="Accent3" xfId="166"/>
    <cellStyle name="Accent4" xfId="167"/>
    <cellStyle name="Accent5" xfId="168"/>
    <cellStyle name="Accent6" xfId="169"/>
    <cellStyle name="Bad" xfId="170"/>
    <cellStyle name="Bom 2" xfId="171"/>
    <cellStyle name="Bom 2 2" xfId="172"/>
    <cellStyle name="Bom 2 3" xfId="173"/>
    <cellStyle name="Bom 2_ORÇAMENTO - FORUM DE V. GRANDE" xfId="174"/>
    <cellStyle name="Bom 3" xfId="175"/>
    <cellStyle name="Bom 4" xfId="176"/>
    <cellStyle name="Bom 5" xfId="177"/>
    <cellStyle name="Bom 6" xfId="178"/>
    <cellStyle name="Calculation" xfId="179"/>
    <cellStyle name="Cálculo 2" xfId="180"/>
    <cellStyle name="Cálculo 2 2" xfId="181"/>
    <cellStyle name="Cálculo 2 3" xfId="182"/>
    <cellStyle name="Cálculo 2_CIVIL- BL 1-2-3-4-5-6-7-8 " xfId="183"/>
    <cellStyle name="Cálculo 3" xfId="184"/>
    <cellStyle name="Cálculo 4" xfId="185"/>
    <cellStyle name="Cálculo 5" xfId="186"/>
    <cellStyle name="Cálculo 6" xfId="187"/>
    <cellStyle name="Cancel" xfId="188"/>
    <cellStyle name="Célula de Verificação 2" xfId="189"/>
    <cellStyle name="Célula de Verificação 2 2" xfId="190"/>
    <cellStyle name="Célula de Verificação 2 3" xfId="191"/>
    <cellStyle name="Célula de Verificação 2_CIVIL- BL 1-2-3-4-5-6-7-8 " xfId="192"/>
    <cellStyle name="Célula de Verificação 3" xfId="193"/>
    <cellStyle name="Célula de Verificação 4" xfId="194"/>
    <cellStyle name="Célula de Verificação 5" xfId="195"/>
    <cellStyle name="Célula de Verificação 6" xfId="196"/>
    <cellStyle name="Célula Vinculada 2" xfId="197"/>
    <cellStyle name="Célula Vinculada 2 2" xfId="198"/>
    <cellStyle name="Célula Vinculada 2 3" xfId="199"/>
    <cellStyle name="Célula Vinculada 2_CIVIL- BL 1-2-3-4-5-6-7-8 " xfId="200"/>
    <cellStyle name="Célula Vinculada 3" xfId="201"/>
    <cellStyle name="Célula Vinculada 4" xfId="202"/>
    <cellStyle name="Célula Vinculada 5" xfId="203"/>
    <cellStyle name="Célula Vinculada 6" xfId="204"/>
    <cellStyle name="Check Cell" xfId="205"/>
    <cellStyle name="Comma0" xfId="206"/>
    <cellStyle name="Currency0" xfId="207"/>
    <cellStyle name="Ênfase1 2" xfId="208"/>
    <cellStyle name="Ênfase1 2 2" xfId="209"/>
    <cellStyle name="Ênfase1 2 3" xfId="210"/>
    <cellStyle name="Ênfase1 2_ORÇAMENTO - FORUM DE V. GRANDE" xfId="211"/>
    <cellStyle name="Ênfase1 3" xfId="212"/>
    <cellStyle name="Ênfase1 4" xfId="213"/>
    <cellStyle name="Ênfase1 5" xfId="214"/>
    <cellStyle name="Ênfase1 6" xfId="215"/>
    <cellStyle name="Ênfase2 2" xfId="216"/>
    <cellStyle name="Ênfase2 2 2" xfId="217"/>
    <cellStyle name="Ênfase2 2 3" xfId="218"/>
    <cellStyle name="Ênfase2 2_ORÇAMENTO - FORUM DE V. GRANDE" xfId="219"/>
    <cellStyle name="Ênfase2 3" xfId="220"/>
    <cellStyle name="Ênfase2 4" xfId="221"/>
    <cellStyle name="Ênfase2 5" xfId="222"/>
    <cellStyle name="Ênfase2 6" xfId="223"/>
    <cellStyle name="Ênfase3 2" xfId="224"/>
    <cellStyle name="Ênfase3 2 2" xfId="225"/>
    <cellStyle name="Ênfase3 2 3" xfId="226"/>
    <cellStyle name="Ênfase3 2_ORÇAMENTO - FORUM DE V. GRANDE" xfId="227"/>
    <cellStyle name="Ênfase3 3" xfId="228"/>
    <cellStyle name="Ênfase3 4" xfId="229"/>
    <cellStyle name="Ênfase3 5" xfId="230"/>
    <cellStyle name="Ênfase3 6" xfId="231"/>
    <cellStyle name="Ênfase4 2" xfId="232"/>
    <cellStyle name="Ênfase4 2 2" xfId="233"/>
    <cellStyle name="Ênfase4 2 3" xfId="234"/>
    <cellStyle name="Ênfase4 2_ORÇAMENTO - FORUM DE V. GRANDE" xfId="235"/>
    <cellStyle name="Ênfase4 3" xfId="236"/>
    <cellStyle name="Ênfase4 4" xfId="237"/>
    <cellStyle name="Ênfase4 5" xfId="238"/>
    <cellStyle name="Ênfase4 6" xfId="239"/>
    <cellStyle name="Ênfase5 2" xfId="240"/>
    <cellStyle name="Ênfase5 2 2" xfId="241"/>
    <cellStyle name="Ênfase5 2 3" xfId="242"/>
    <cellStyle name="Ênfase5 2_ORÇAMENTO - FORUM DE V. GRANDE" xfId="243"/>
    <cellStyle name="Ênfase5 3" xfId="244"/>
    <cellStyle name="Ênfase5 4" xfId="245"/>
    <cellStyle name="Ênfase5 5" xfId="246"/>
    <cellStyle name="Ênfase5 6" xfId="247"/>
    <cellStyle name="Ênfase6 2" xfId="248"/>
    <cellStyle name="Ênfase6 2 2" xfId="249"/>
    <cellStyle name="Ênfase6 2 3" xfId="250"/>
    <cellStyle name="Ênfase6 2_ORÇAMENTO - FORUM DE V. GRANDE" xfId="251"/>
    <cellStyle name="Ênfase6 3" xfId="252"/>
    <cellStyle name="Ênfase6 4" xfId="253"/>
    <cellStyle name="Ênfase6 5" xfId="254"/>
    <cellStyle name="Ênfase6 6" xfId="255"/>
    <cellStyle name="Entrada 2" xfId="256"/>
    <cellStyle name="Entrada 2 2" xfId="257"/>
    <cellStyle name="Entrada 2 3" xfId="258"/>
    <cellStyle name="Entrada 2_CIVIL- BL 1-2-3-4-5-6-7-8 " xfId="259"/>
    <cellStyle name="Entrada 3" xfId="260"/>
    <cellStyle name="Entrada 4" xfId="261"/>
    <cellStyle name="Entrada 5" xfId="262"/>
    <cellStyle name="Entrada 6" xfId="263"/>
    <cellStyle name="Estilo 1" xfId="264"/>
    <cellStyle name="Euro" xfId="265"/>
    <cellStyle name="Euro 2" xfId="266"/>
    <cellStyle name="Euro 2 2" xfId="267"/>
    <cellStyle name="Euro 3" xfId="268"/>
    <cellStyle name="Excel Built-in Normal" xfId="269"/>
    <cellStyle name="Excel Built-in Normal 1 1" xfId="270"/>
    <cellStyle name="Excel Built-in Normal 10 3" xfId="271"/>
    <cellStyle name="Excel Built-in Vírgula 6" xfId="272"/>
    <cellStyle name="Explanatory Text" xfId="273"/>
    <cellStyle name="Good" xfId="274"/>
    <cellStyle name="Heading 1" xfId="275"/>
    <cellStyle name="Heading 2" xfId="276"/>
    <cellStyle name="Heading 3" xfId="277"/>
    <cellStyle name="Heading 4" xfId="278"/>
    <cellStyle name="Hiperlink" xfId="279" builtinId="8"/>
    <cellStyle name="Hiperlink 2" xfId="280"/>
    <cellStyle name="Hyperlink 2" xfId="281"/>
    <cellStyle name="Incorreto 2" xfId="282"/>
    <cellStyle name="Incorreto 2 2" xfId="283"/>
    <cellStyle name="Incorreto 2 3" xfId="284"/>
    <cellStyle name="Incorreto 2_ORÇAMENTO - FORUM DE V. GRANDE" xfId="285"/>
    <cellStyle name="Incorreto 3" xfId="286"/>
    <cellStyle name="Incorreto 4" xfId="287"/>
    <cellStyle name="Incorreto 5" xfId="288"/>
    <cellStyle name="Incorreto 6" xfId="289"/>
    <cellStyle name="Input" xfId="290"/>
    <cellStyle name="Linked Cell" xfId="291"/>
    <cellStyle name="Moeda" xfId="292" builtinId="4"/>
    <cellStyle name="Moeda 10" xfId="293"/>
    <cellStyle name="Moeda 2" xfId="294"/>
    <cellStyle name="Moeda 2 2" xfId="295"/>
    <cellStyle name="Moeda 2 3" xfId="296"/>
    <cellStyle name="Moeda 2_ORÇAMENTO - FORUM DE V. GRANDE" xfId="297"/>
    <cellStyle name="Moeda 24" xfId="298"/>
    <cellStyle name="Moeda 3" xfId="299"/>
    <cellStyle name="Moeda 4" xfId="300"/>
    <cellStyle name="Moeda 5" xfId="301"/>
    <cellStyle name="Moeda 6" xfId="302"/>
    <cellStyle name="Moeda 7" xfId="303"/>
    <cellStyle name="Moeda 8" xfId="304"/>
    <cellStyle name="Moeda 9" xfId="305"/>
    <cellStyle name="Neutra 2" xfId="306"/>
    <cellStyle name="Neutra 2 2" xfId="307"/>
    <cellStyle name="Neutra 2 3" xfId="308"/>
    <cellStyle name="Neutra 2_ORÇAMENTO - FORUM DE V. GRANDE" xfId="309"/>
    <cellStyle name="Neutra 3" xfId="310"/>
    <cellStyle name="Neutra 4" xfId="311"/>
    <cellStyle name="Neutra 5" xfId="312"/>
    <cellStyle name="Neutra 6" xfId="313"/>
    <cellStyle name="Neutral" xfId="314"/>
    <cellStyle name="Normal" xfId="0" builtinId="0"/>
    <cellStyle name="Normal 10" xfId="315"/>
    <cellStyle name="Normal 10 2" xfId="316"/>
    <cellStyle name="Normal 10_Compo-Civil" xfId="317"/>
    <cellStyle name="Normal 11" xfId="318"/>
    <cellStyle name="Normal 11 2" xfId="319"/>
    <cellStyle name="Normal 11_Compo-Civil" xfId="320"/>
    <cellStyle name="Normal 12" xfId="321"/>
    <cellStyle name="Normal 12 2" xfId="322"/>
    <cellStyle name="Normal 12_Compo-Civil" xfId="323"/>
    <cellStyle name="Normal 13" xfId="324"/>
    <cellStyle name="Normal 13 2" xfId="325"/>
    <cellStyle name="Normal 13 2 2" xfId="326"/>
    <cellStyle name="Normal 13 2 3" xfId="327"/>
    <cellStyle name="Normal 13 2_Compo-Civil" xfId="328"/>
    <cellStyle name="Normal 13 3" xfId="329"/>
    <cellStyle name="Normal 13 4" xfId="330"/>
    <cellStyle name="Normal 13_Compo-Civil" xfId="331"/>
    <cellStyle name="Normal 14" xfId="332"/>
    <cellStyle name="Normal 14 2" xfId="333"/>
    <cellStyle name="Normal 14_Compo-Civil" xfId="334"/>
    <cellStyle name="Normal 15" xfId="335"/>
    <cellStyle name="Normal 15 2" xfId="336"/>
    <cellStyle name="Normal 15 2 2" xfId="337"/>
    <cellStyle name="Normal 15 2 3" xfId="338"/>
    <cellStyle name="Normal 15 2_Compo-Civil" xfId="339"/>
    <cellStyle name="Normal 15 3" xfId="340"/>
    <cellStyle name="Normal 15 4" xfId="341"/>
    <cellStyle name="Normal 15_Compo-Civil" xfId="342"/>
    <cellStyle name="Normal 16" xfId="343"/>
    <cellStyle name="Normal 16 2" xfId="344"/>
    <cellStyle name="Normal 16 2 2" xfId="345"/>
    <cellStyle name="Normal 16 2 3" xfId="346"/>
    <cellStyle name="Normal 16 2_Compo-Civil" xfId="347"/>
    <cellStyle name="Normal 16 3" xfId="348"/>
    <cellStyle name="Normal 16 4" xfId="349"/>
    <cellStyle name="Normal 16_Compo-Civil" xfId="350"/>
    <cellStyle name="Normal 17" xfId="351"/>
    <cellStyle name="Normal 17 2" xfId="352"/>
    <cellStyle name="Normal 17_Compo-Civil" xfId="353"/>
    <cellStyle name="Normal 18" xfId="354"/>
    <cellStyle name="Normal 18 2" xfId="355"/>
    <cellStyle name="Normal 18_Compo-Civil" xfId="356"/>
    <cellStyle name="Normal 19" xfId="357"/>
    <cellStyle name="Normal 19 2" xfId="358"/>
    <cellStyle name="Normal 19_Compo-Civil" xfId="359"/>
    <cellStyle name="Normal 2" xfId="360"/>
    <cellStyle name="Normal 2 2" xfId="361"/>
    <cellStyle name="Normal 2 2 2" xfId="362"/>
    <cellStyle name="Normal 2 2 2 2" xfId="363"/>
    <cellStyle name="Normal 2 2 2_ORÇAMENTO - FORUM DE V. GRANDE" xfId="364"/>
    <cellStyle name="Normal 2 2_Compo-Civil" xfId="365"/>
    <cellStyle name="Normal 2 3" xfId="366"/>
    <cellStyle name="Normal 2 4" xfId="367"/>
    <cellStyle name="Normal 2 5" xfId="368"/>
    <cellStyle name="Normal 2 6" xfId="369"/>
    <cellStyle name="Normal 2 7" xfId="370"/>
    <cellStyle name="Normal 2 8" xfId="371"/>
    <cellStyle name="Normal 20" xfId="372"/>
    <cellStyle name="Normal 20 2" xfId="373"/>
    <cellStyle name="Normal 20_Compo-Civil" xfId="374"/>
    <cellStyle name="Normal 21" xfId="375"/>
    <cellStyle name="Normal 21 2" xfId="376"/>
    <cellStyle name="Normal 21 3" xfId="377"/>
    <cellStyle name="Normal 21 4" xfId="378"/>
    <cellStyle name="Normal 21_Compo-Civil" xfId="379"/>
    <cellStyle name="Normal 22" xfId="380"/>
    <cellStyle name="Normal 22 2" xfId="381"/>
    <cellStyle name="Normal 22_Compo-Civil" xfId="382"/>
    <cellStyle name="Normal 23" xfId="383"/>
    <cellStyle name="Normal 23 2" xfId="384"/>
    <cellStyle name="Normal 23_Compo-Civil" xfId="385"/>
    <cellStyle name="Normal 24" xfId="386"/>
    <cellStyle name="Normal 24 2" xfId="387"/>
    <cellStyle name="Normal 24_Compo-Civil" xfId="388"/>
    <cellStyle name="Normal 25" xfId="389"/>
    <cellStyle name="Normal 25 2" xfId="390"/>
    <cellStyle name="Normal 25_Compo-Civil" xfId="391"/>
    <cellStyle name="Normal 26" xfId="392"/>
    <cellStyle name="Normal 26 2" xfId="393"/>
    <cellStyle name="Normal 26_Compo-Civil" xfId="394"/>
    <cellStyle name="Normal 27" xfId="395"/>
    <cellStyle name="Normal 27 2" xfId="396"/>
    <cellStyle name="Normal 27_Compo-Civil" xfId="397"/>
    <cellStyle name="Normal 28" xfId="398"/>
    <cellStyle name="Normal 28 2" xfId="399"/>
    <cellStyle name="Normal 28_Compo-Civil" xfId="400"/>
    <cellStyle name="Normal 29" xfId="401"/>
    <cellStyle name="Normal 3 2" xfId="402"/>
    <cellStyle name="Normal 3 3" xfId="403"/>
    <cellStyle name="Normal 3 4" xfId="404"/>
    <cellStyle name="Normal 30" xfId="405"/>
    <cellStyle name="Normal 31" xfId="406"/>
    <cellStyle name="Normal 32" xfId="407"/>
    <cellStyle name="Normal 33" xfId="408"/>
    <cellStyle name="Normal 34" xfId="409"/>
    <cellStyle name="Normal 35" xfId="410"/>
    <cellStyle name="Normal 36" xfId="411"/>
    <cellStyle name="Normal 37" xfId="412"/>
    <cellStyle name="Normal 38" xfId="413"/>
    <cellStyle name="Normal 39" xfId="414"/>
    <cellStyle name="Normal 4 10" xfId="415"/>
    <cellStyle name="Normal 4 2" xfId="416"/>
    <cellStyle name="Normal 4 2 2" xfId="417"/>
    <cellStyle name="Normal 4 2 3" xfId="418"/>
    <cellStyle name="Normal 4 2_Compo-Civil" xfId="419"/>
    <cellStyle name="Normal 4 3" xfId="420"/>
    <cellStyle name="Normal 4 4" xfId="421"/>
    <cellStyle name="Normal 4 5" xfId="422"/>
    <cellStyle name="Normal 4 6" xfId="423"/>
    <cellStyle name="Normal 4 7" xfId="424"/>
    <cellStyle name="Normal 4 8" xfId="425"/>
    <cellStyle name="Normal 4 9" xfId="426"/>
    <cellStyle name="Normal 4_ORÇAMENTO" xfId="427"/>
    <cellStyle name="Normal 40" xfId="428"/>
    <cellStyle name="Normal 41" xfId="429"/>
    <cellStyle name="Normal 42" xfId="430"/>
    <cellStyle name="Normal 43" xfId="431"/>
    <cellStyle name="Normal 44" xfId="432"/>
    <cellStyle name="Normal 45" xfId="433"/>
    <cellStyle name="Normal 46" xfId="434"/>
    <cellStyle name="Normal 47" xfId="435"/>
    <cellStyle name="Normal 48" xfId="436"/>
    <cellStyle name="Normal 49" xfId="437"/>
    <cellStyle name="Normal 5" xfId="438"/>
    <cellStyle name="Normal 5 2" xfId="439"/>
    <cellStyle name="Normal 5 3" xfId="440"/>
    <cellStyle name="Normal 5 4" xfId="441"/>
    <cellStyle name="Normal 5_Compo-Civil" xfId="442"/>
    <cellStyle name="Normal 50" xfId="443"/>
    <cellStyle name="Normal 51" xfId="444"/>
    <cellStyle name="Normal 52" xfId="445"/>
    <cellStyle name="Normal 53" xfId="446"/>
    <cellStyle name="Normal 54" xfId="447"/>
    <cellStyle name="Normal 55" xfId="448"/>
    <cellStyle name="Normal 56" xfId="449"/>
    <cellStyle name="Normal 57" xfId="450"/>
    <cellStyle name="Normal 58" xfId="451"/>
    <cellStyle name="Normal 59" xfId="452"/>
    <cellStyle name="Normal 6" xfId="453"/>
    <cellStyle name="Normal 6 2" xfId="454"/>
    <cellStyle name="Normal 6_Compo-Civil" xfId="455"/>
    <cellStyle name="Normal 60" xfId="456"/>
    <cellStyle name="Normal 61" xfId="457"/>
    <cellStyle name="Normal 62" xfId="458"/>
    <cellStyle name="Normal 63" xfId="459"/>
    <cellStyle name="Normal 64" xfId="460"/>
    <cellStyle name="Normal 65" xfId="461"/>
    <cellStyle name="Normal 66" xfId="462"/>
    <cellStyle name="Normal 67" xfId="463"/>
    <cellStyle name="Normal 68" xfId="464"/>
    <cellStyle name="Normal 69" xfId="465"/>
    <cellStyle name="Normal 7" xfId="466"/>
    <cellStyle name="Normal 7 2" xfId="467"/>
    <cellStyle name="Normal 7_Compo-Civil" xfId="468"/>
    <cellStyle name="Normal 70" xfId="469"/>
    <cellStyle name="Normal 71" xfId="470"/>
    <cellStyle name="Normal 72" xfId="471"/>
    <cellStyle name="Normal 73" xfId="472"/>
    <cellStyle name="Normal 74" xfId="473"/>
    <cellStyle name="Normal 75" xfId="474"/>
    <cellStyle name="Normal 76" xfId="475"/>
    <cellStyle name="Normal 77" xfId="476"/>
    <cellStyle name="Normal 78" xfId="477"/>
    <cellStyle name="Normal 79" xfId="478"/>
    <cellStyle name="Normal 8" xfId="479"/>
    <cellStyle name="Normal 8 2" xfId="480"/>
    <cellStyle name="Normal 8 3" xfId="481"/>
    <cellStyle name="Normal 8 4" xfId="482"/>
    <cellStyle name="Normal 8_Compo-Civil" xfId="483"/>
    <cellStyle name="Normal 80" xfId="484"/>
    <cellStyle name="Normal 81" xfId="485"/>
    <cellStyle name="Normal 82" xfId="486"/>
    <cellStyle name="Normal 83" xfId="487"/>
    <cellStyle name="Normal 84" xfId="488"/>
    <cellStyle name="Normal 85" xfId="489"/>
    <cellStyle name="Normal 86" xfId="490"/>
    <cellStyle name="Normal 87" xfId="491"/>
    <cellStyle name="Normal 88" xfId="492"/>
    <cellStyle name="Normal 89" xfId="493"/>
    <cellStyle name="Normal 9" xfId="494"/>
    <cellStyle name="Normal 9 2" xfId="495"/>
    <cellStyle name="Normal 9_Compo-Civil" xfId="496"/>
    <cellStyle name="Normal 90" xfId="497"/>
    <cellStyle name="Normal 91" xfId="498"/>
    <cellStyle name="Normal_5ª Medição 199" xfId="499"/>
    <cellStyle name="Normal_rol-rua2" xfId="500"/>
    <cellStyle name="Normal_TRANSPORTE_QUENTE_E_FRIO 2" xfId="501"/>
    <cellStyle name="Nota 10" xfId="502"/>
    <cellStyle name="Nota 10 2" xfId="503"/>
    <cellStyle name="Nota 11" xfId="504"/>
    <cellStyle name="Nota 11 2" xfId="505"/>
    <cellStyle name="Nota 12" xfId="506"/>
    <cellStyle name="Nota 12 2" xfId="507"/>
    <cellStyle name="Nota 13" xfId="508"/>
    <cellStyle name="Nota 13 2" xfId="509"/>
    <cellStyle name="Nota 14" xfId="510"/>
    <cellStyle name="Nota 14 2" xfId="511"/>
    <cellStyle name="Nota 15" xfId="512"/>
    <cellStyle name="Nota 15 2" xfId="513"/>
    <cellStyle name="Nota 16" xfId="514"/>
    <cellStyle name="Nota 16 2" xfId="515"/>
    <cellStyle name="Nota 17" xfId="516"/>
    <cellStyle name="Nota 17 2" xfId="517"/>
    <cellStyle name="Nota 18" xfId="518"/>
    <cellStyle name="Nota 18 2" xfId="519"/>
    <cellStyle name="Nota 19" xfId="520"/>
    <cellStyle name="Nota 19 2" xfId="521"/>
    <cellStyle name="Nota 2" xfId="522"/>
    <cellStyle name="Nota 2 2" xfId="523"/>
    <cellStyle name="Nota 2 3" xfId="524"/>
    <cellStyle name="Nota 2 4" xfId="525"/>
    <cellStyle name="Nota 2_CIVIL- BL 1-2-3-4-5-6-7-8 " xfId="526"/>
    <cellStyle name="Nota 20" xfId="527"/>
    <cellStyle name="Nota 20 2" xfId="528"/>
    <cellStyle name="Nota 21" xfId="529"/>
    <cellStyle name="Nota 21 2" xfId="530"/>
    <cellStyle name="Nota 22" xfId="531"/>
    <cellStyle name="Nota 22 2" xfId="532"/>
    <cellStyle name="Nota 23" xfId="533"/>
    <cellStyle name="Nota 23 2" xfId="534"/>
    <cellStyle name="Nota 24" xfId="535"/>
    <cellStyle name="Nota 24 2" xfId="536"/>
    <cellStyle name="Nota 25" xfId="537"/>
    <cellStyle name="Nota 25 2" xfId="538"/>
    <cellStyle name="Nota 26" xfId="539"/>
    <cellStyle name="Nota 26 2" xfId="540"/>
    <cellStyle name="Nota 27" xfId="541"/>
    <cellStyle name="Nota 27 2" xfId="542"/>
    <cellStyle name="Nota 28" xfId="543"/>
    <cellStyle name="Nota 28 2" xfId="544"/>
    <cellStyle name="Nota 29" xfId="545"/>
    <cellStyle name="Nota 29 2" xfId="546"/>
    <cellStyle name="Nota 3" xfId="547"/>
    <cellStyle name="Nota 3 2" xfId="548"/>
    <cellStyle name="Nota 30" xfId="549"/>
    <cellStyle name="Nota 30 2" xfId="550"/>
    <cellStyle name="Nota 31" xfId="551"/>
    <cellStyle name="Nota 31 2" xfId="552"/>
    <cellStyle name="Nota 32" xfId="553"/>
    <cellStyle name="Nota 32 2" xfId="554"/>
    <cellStyle name="Nota 33" xfId="555"/>
    <cellStyle name="Nota 33 2" xfId="556"/>
    <cellStyle name="Nota 34" xfId="557"/>
    <cellStyle name="Nota 34 2" xfId="558"/>
    <cellStyle name="Nota 35" xfId="559"/>
    <cellStyle name="Nota 35 2" xfId="560"/>
    <cellStyle name="Nota 36" xfId="561"/>
    <cellStyle name="Nota 36 2" xfId="562"/>
    <cellStyle name="Nota 37" xfId="563"/>
    <cellStyle name="Nota 37 2" xfId="564"/>
    <cellStyle name="Nota 38" xfId="565"/>
    <cellStyle name="Nota 39" xfId="566"/>
    <cellStyle name="Nota 4" xfId="567"/>
    <cellStyle name="Nota 4 2" xfId="568"/>
    <cellStyle name="Nota 5" xfId="569"/>
    <cellStyle name="Nota 5 2" xfId="570"/>
    <cellStyle name="Nota 6" xfId="571"/>
    <cellStyle name="Nota 6 2" xfId="572"/>
    <cellStyle name="Nota 7" xfId="573"/>
    <cellStyle name="Nota 7 2" xfId="574"/>
    <cellStyle name="Nota 8" xfId="575"/>
    <cellStyle name="Nota 8 2" xfId="576"/>
    <cellStyle name="Nota 9" xfId="577"/>
    <cellStyle name="Nota 9 2" xfId="578"/>
    <cellStyle name="Note" xfId="579"/>
    <cellStyle name="Output" xfId="580"/>
    <cellStyle name="planilhas" xfId="581"/>
    <cellStyle name="Porcentagem" xfId="1091" builtinId="5"/>
    <cellStyle name="Porcentagem 10" xfId="582"/>
    <cellStyle name="Porcentagem 10 2" xfId="583"/>
    <cellStyle name="Porcentagem 11" xfId="584"/>
    <cellStyle name="Porcentagem 12" xfId="585"/>
    <cellStyle name="Porcentagem 13" xfId="586"/>
    <cellStyle name="Porcentagem 14" xfId="587"/>
    <cellStyle name="Porcentagem 15" xfId="588"/>
    <cellStyle name="Porcentagem 16" xfId="589"/>
    <cellStyle name="Porcentagem 17" xfId="590"/>
    <cellStyle name="Porcentagem 18" xfId="591"/>
    <cellStyle name="Porcentagem 19" xfId="592"/>
    <cellStyle name="Porcentagem 2" xfId="593"/>
    <cellStyle name="Porcentagem 2 10" xfId="594"/>
    <cellStyle name="Porcentagem 2 11" xfId="595"/>
    <cellStyle name="Porcentagem 2 12" xfId="596"/>
    <cellStyle name="Porcentagem 2 13" xfId="597"/>
    <cellStyle name="Porcentagem 2 14" xfId="598"/>
    <cellStyle name="Porcentagem 2 15" xfId="599"/>
    <cellStyle name="Porcentagem 2 16" xfId="600"/>
    <cellStyle name="Porcentagem 2 17" xfId="601"/>
    <cellStyle name="Porcentagem 2 18" xfId="602"/>
    <cellStyle name="Porcentagem 2 19" xfId="603"/>
    <cellStyle name="Porcentagem 2 2" xfId="604"/>
    <cellStyle name="Porcentagem 2 2 2" xfId="605"/>
    <cellStyle name="Porcentagem 2 2 3" xfId="606"/>
    <cellStyle name="Porcentagem 2 20" xfId="607"/>
    <cellStyle name="Porcentagem 2 21" xfId="608"/>
    <cellStyle name="Porcentagem 2 22" xfId="609"/>
    <cellStyle name="Porcentagem 2 23" xfId="610"/>
    <cellStyle name="Porcentagem 2 24" xfId="611"/>
    <cellStyle name="Porcentagem 2 25" xfId="612"/>
    <cellStyle name="Porcentagem 2 26" xfId="613"/>
    <cellStyle name="Porcentagem 2 27" xfId="614"/>
    <cellStyle name="Porcentagem 2 28" xfId="615"/>
    <cellStyle name="Porcentagem 2 29" xfId="616"/>
    <cellStyle name="Porcentagem 2 3" xfId="617"/>
    <cellStyle name="Porcentagem 2 30" xfId="618"/>
    <cellStyle name="Porcentagem 2 4" xfId="619"/>
    <cellStyle name="Porcentagem 2 5" xfId="620"/>
    <cellStyle name="Porcentagem 2 6" xfId="621"/>
    <cellStyle name="Porcentagem 2 7" xfId="622"/>
    <cellStyle name="Porcentagem 2 8" xfId="623"/>
    <cellStyle name="Porcentagem 2 9" xfId="624"/>
    <cellStyle name="Porcentagem 20" xfId="625"/>
    <cellStyle name="Porcentagem 21" xfId="626"/>
    <cellStyle name="Porcentagem 22" xfId="627"/>
    <cellStyle name="Porcentagem 23" xfId="628"/>
    <cellStyle name="Porcentagem 24" xfId="629"/>
    <cellStyle name="Porcentagem 25" xfId="630"/>
    <cellStyle name="Porcentagem 26" xfId="631"/>
    <cellStyle name="Porcentagem 27" xfId="632"/>
    <cellStyle name="Porcentagem 28" xfId="633"/>
    <cellStyle name="Porcentagem 29" xfId="634"/>
    <cellStyle name="Porcentagem 3" xfId="635"/>
    <cellStyle name="Porcentagem 30" xfId="636"/>
    <cellStyle name="Porcentagem 31" xfId="637"/>
    <cellStyle name="Porcentagem 33" xfId="638"/>
    <cellStyle name="Porcentagem 4" xfId="639"/>
    <cellStyle name="Porcentagem 5" xfId="640"/>
    <cellStyle name="Porcentagem 6" xfId="641"/>
    <cellStyle name="Porcentagem 7" xfId="642"/>
    <cellStyle name="Porcentagem 8" xfId="643"/>
    <cellStyle name="Porcentagem 9" xfId="644"/>
    <cellStyle name="Saída 2" xfId="645"/>
    <cellStyle name="Saída 2 2" xfId="646"/>
    <cellStyle name="Saída 2 3" xfId="647"/>
    <cellStyle name="Saída 2_CIVIL- BL 1-2-3-4-5-6-7-8 " xfId="648"/>
    <cellStyle name="Saída 3" xfId="649"/>
    <cellStyle name="Saída 4" xfId="650"/>
    <cellStyle name="Saída 5" xfId="651"/>
    <cellStyle name="Saída 6" xfId="652"/>
    <cellStyle name="Separador de milhares 10" xfId="653"/>
    <cellStyle name="Separador de milhares 10 2" xfId="654"/>
    <cellStyle name="Separador de milhares 10 2 2" xfId="655"/>
    <cellStyle name="Separador de milhares 10 2 2 2" xfId="656"/>
    <cellStyle name="Separador de milhares 10 2 3" xfId="657"/>
    <cellStyle name="Separador de milhares 11" xfId="658"/>
    <cellStyle name="Separador de milhares 11 2" xfId="659"/>
    <cellStyle name="Separador de milhares 11 2 2" xfId="660"/>
    <cellStyle name="Separador de milhares 11 2 2 2" xfId="661"/>
    <cellStyle name="Separador de milhares 11 2 3" xfId="662"/>
    <cellStyle name="Separador de milhares 12" xfId="663"/>
    <cellStyle name="Separador de milhares 12 2" xfId="664"/>
    <cellStyle name="Separador de milhares 12 2 2" xfId="665"/>
    <cellStyle name="Separador de milhares 12 2 2 2" xfId="666"/>
    <cellStyle name="Separador de milhares 12 2 3" xfId="667"/>
    <cellStyle name="Separador de milhares 13" xfId="668"/>
    <cellStyle name="Separador de milhares 13 2" xfId="669"/>
    <cellStyle name="Separador de milhares 13 2 2" xfId="670"/>
    <cellStyle name="Separador de milhares 13 2 2 2" xfId="671"/>
    <cellStyle name="Separador de milhares 13 2 3" xfId="672"/>
    <cellStyle name="Separador de milhares 14" xfId="673"/>
    <cellStyle name="Separador de milhares 14 2" xfId="674"/>
    <cellStyle name="Separador de milhares 14 2 2" xfId="675"/>
    <cellStyle name="Separador de milhares 14 2 2 2" xfId="676"/>
    <cellStyle name="Separador de milhares 14 2 3" xfId="677"/>
    <cellStyle name="Separador de milhares 15" xfId="678"/>
    <cellStyle name="Separador de milhares 15 2" xfId="679"/>
    <cellStyle name="Separador de milhares 15 2 2" xfId="680"/>
    <cellStyle name="Separador de milhares 15 2 2 2" xfId="681"/>
    <cellStyle name="Separador de milhares 15 2 3" xfId="682"/>
    <cellStyle name="Separador de milhares 16" xfId="683"/>
    <cellStyle name="Separador de milhares 16 2" xfId="684"/>
    <cellStyle name="Separador de milhares 16 2 2" xfId="685"/>
    <cellStyle name="Separador de milhares 16 2 2 2" xfId="686"/>
    <cellStyle name="Separador de milhares 16 2 3" xfId="687"/>
    <cellStyle name="Separador de milhares 17" xfId="688"/>
    <cellStyle name="Separador de milhares 17 2" xfId="689"/>
    <cellStyle name="Separador de milhares 17 2 2" xfId="690"/>
    <cellStyle name="Separador de milhares 17 2 2 2" xfId="691"/>
    <cellStyle name="Separador de milhares 17 2 3" xfId="692"/>
    <cellStyle name="Separador de milhares 18" xfId="693"/>
    <cellStyle name="Separador de milhares 18 2" xfId="694"/>
    <cellStyle name="Separador de milhares 18 2 2" xfId="695"/>
    <cellStyle name="Separador de milhares 18 2 2 2" xfId="696"/>
    <cellStyle name="Separador de milhares 18 2 3" xfId="697"/>
    <cellStyle name="Separador de milhares 19" xfId="698"/>
    <cellStyle name="Separador de milhares 19 2" xfId="699"/>
    <cellStyle name="Separador de milhares 19 2 2" xfId="700"/>
    <cellStyle name="Separador de milhares 19 2 2 2" xfId="701"/>
    <cellStyle name="Separador de milhares 19 2 3" xfId="702"/>
    <cellStyle name="Separador de milhares 2 10" xfId="703"/>
    <cellStyle name="Separador de milhares 2 10 2" xfId="704"/>
    <cellStyle name="Separador de milhares 2 10 2 2" xfId="705"/>
    <cellStyle name="Separador de milhares 2 10 2 2 2" xfId="706"/>
    <cellStyle name="Separador de milhares 2 10 2 3" xfId="707"/>
    <cellStyle name="Separador de milhares 2 11" xfId="708"/>
    <cellStyle name="Separador de milhares 2 11 2" xfId="709"/>
    <cellStyle name="Separador de milhares 2 11 2 2" xfId="710"/>
    <cellStyle name="Separador de milhares 2 11 2 2 2" xfId="711"/>
    <cellStyle name="Separador de milhares 2 11 2 3" xfId="712"/>
    <cellStyle name="Separador de milhares 2 12" xfId="713"/>
    <cellStyle name="Separador de milhares 2 12 2" xfId="714"/>
    <cellStyle name="Separador de milhares 2 12 2 2" xfId="715"/>
    <cellStyle name="Separador de milhares 2 12 2 2 2" xfId="716"/>
    <cellStyle name="Separador de milhares 2 12 2 3" xfId="717"/>
    <cellStyle name="Separador de milhares 2 13" xfId="718"/>
    <cellStyle name="Separador de milhares 2 13 2" xfId="719"/>
    <cellStyle name="Separador de milhares 2 13 2 2" xfId="720"/>
    <cellStyle name="Separador de milhares 2 13 2 2 2" xfId="721"/>
    <cellStyle name="Separador de milhares 2 13 2 3" xfId="722"/>
    <cellStyle name="Separador de milhares 2 14" xfId="723"/>
    <cellStyle name="Separador de milhares 2 14 2" xfId="724"/>
    <cellStyle name="Separador de milhares 2 14 2 2" xfId="725"/>
    <cellStyle name="Separador de milhares 2 14 2 2 2" xfId="726"/>
    <cellStyle name="Separador de milhares 2 14 2 3" xfId="727"/>
    <cellStyle name="Separador de milhares 2 15" xfId="728"/>
    <cellStyle name="Separador de milhares 2 15 2" xfId="729"/>
    <cellStyle name="Separador de milhares 2 15 2 2" xfId="730"/>
    <cellStyle name="Separador de milhares 2 15 2 2 2" xfId="731"/>
    <cellStyle name="Separador de milhares 2 15 2 3" xfId="732"/>
    <cellStyle name="Separador de milhares 2 16" xfId="733"/>
    <cellStyle name="Separador de milhares 2 16 2" xfId="734"/>
    <cellStyle name="Separador de milhares 2 16 2 2" xfId="735"/>
    <cellStyle name="Separador de milhares 2 16 2 2 2" xfId="736"/>
    <cellStyle name="Separador de milhares 2 16 2 3" xfId="737"/>
    <cellStyle name="Separador de milhares 2 17" xfId="738"/>
    <cellStyle name="Separador de milhares 2 17 2" xfId="739"/>
    <cellStyle name="Separador de milhares 2 17 2 2" xfId="740"/>
    <cellStyle name="Separador de milhares 2 17 2 2 2" xfId="741"/>
    <cellStyle name="Separador de milhares 2 17 2 3" xfId="742"/>
    <cellStyle name="Separador de milhares 2 18" xfId="743"/>
    <cellStyle name="Separador de milhares 2 18 2" xfId="744"/>
    <cellStyle name="Separador de milhares 2 18 2 2" xfId="745"/>
    <cellStyle name="Separador de milhares 2 18 2 2 2" xfId="746"/>
    <cellStyle name="Separador de milhares 2 18 2 3" xfId="747"/>
    <cellStyle name="Separador de milhares 2 19" xfId="748"/>
    <cellStyle name="Separador de milhares 2 19 2" xfId="749"/>
    <cellStyle name="Separador de milhares 2 19 2 2" xfId="750"/>
    <cellStyle name="Separador de milhares 2 19 2 2 2" xfId="751"/>
    <cellStyle name="Separador de milhares 2 19 2 3" xfId="752"/>
    <cellStyle name="Separador de milhares 2 2" xfId="753"/>
    <cellStyle name="Separador de milhares 2 2 2" xfId="754"/>
    <cellStyle name="Separador de milhares 2 2 3" xfId="755"/>
    <cellStyle name="Separador de milhares 2 2 3 2" xfId="756"/>
    <cellStyle name="Separador de milhares 2 2 3 2 2" xfId="757"/>
    <cellStyle name="Separador de milhares 2 2 3 3" xfId="758"/>
    <cellStyle name="Separador de milhares 2 20" xfId="759"/>
    <cellStyle name="Separador de milhares 2 20 2" xfId="760"/>
    <cellStyle name="Separador de milhares 2 20 2 2" xfId="761"/>
    <cellStyle name="Separador de milhares 2 20 2 2 2" xfId="762"/>
    <cellStyle name="Separador de milhares 2 20 2 3" xfId="763"/>
    <cellStyle name="Separador de milhares 2 21" xfId="764"/>
    <cellStyle name="Separador de milhares 2 21 2" xfId="765"/>
    <cellStyle name="Separador de milhares 2 21 2 2" xfId="766"/>
    <cellStyle name="Separador de milhares 2 21 2 2 2" xfId="767"/>
    <cellStyle name="Separador de milhares 2 21 2 3" xfId="768"/>
    <cellStyle name="Separador de milhares 2 22" xfId="769"/>
    <cellStyle name="Separador de milhares 2 22 2" xfId="770"/>
    <cellStyle name="Separador de milhares 2 22 2 2" xfId="771"/>
    <cellStyle name="Separador de milhares 2 22 2 2 2" xfId="772"/>
    <cellStyle name="Separador de milhares 2 22 2 3" xfId="773"/>
    <cellStyle name="Separador de milhares 2 23" xfId="774"/>
    <cellStyle name="Separador de milhares 2 23 2" xfId="775"/>
    <cellStyle name="Separador de milhares 2 23 2 2" xfId="776"/>
    <cellStyle name="Separador de milhares 2 23 2 2 2" xfId="777"/>
    <cellStyle name="Separador de milhares 2 23 2 3" xfId="778"/>
    <cellStyle name="Separador de milhares 2 24" xfId="779"/>
    <cellStyle name="Separador de milhares 2 24 2" xfId="780"/>
    <cellStyle name="Separador de milhares 2 24 2 2" xfId="781"/>
    <cellStyle name="Separador de milhares 2 24 2 2 2" xfId="782"/>
    <cellStyle name="Separador de milhares 2 24 2 3" xfId="783"/>
    <cellStyle name="Separador de milhares 2 25" xfId="784"/>
    <cellStyle name="Separador de milhares 2 25 2" xfId="785"/>
    <cellStyle name="Separador de milhares 2 25 2 2" xfId="786"/>
    <cellStyle name="Separador de milhares 2 25 2 2 2" xfId="787"/>
    <cellStyle name="Separador de milhares 2 25 2 3" xfId="788"/>
    <cellStyle name="Separador de milhares 2 26" xfId="789"/>
    <cellStyle name="Separador de milhares 2 26 2" xfId="790"/>
    <cellStyle name="Separador de milhares 2 26 2 2" xfId="791"/>
    <cellStyle name="Separador de milhares 2 26 2 2 2" xfId="792"/>
    <cellStyle name="Separador de milhares 2 26 2 3" xfId="793"/>
    <cellStyle name="Separador de milhares 2 27" xfId="794"/>
    <cellStyle name="Separador de milhares 2 27 2" xfId="795"/>
    <cellStyle name="Separador de milhares 2 27 2 2" xfId="796"/>
    <cellStyle name="Separador de milhares 2 27 2 2 2" xfId="797"/>
    <cellStyle name="Separador de milhares 2 27 2 3" xfId="798"/>
    <cellStyle name="Separador de milhares 2 28" xfId="799"/>
    <cellStyle name="Separador de milhares 2 28 2" xfId="800"/>
    <cellStyle name="Separador de milhares 2 28 2 2" xfId="801"/>
    <cellStyle name="Separador de milhares 2 28 2 2 2" xfId="802"/>
    <cellStyle name="Separador de milhares 2 28 2 3" xfId="803"/>
    <cellStyle name="Separador de milhares 2 29" xfId="804"/>
    <cellStyle name="Separador de milhares 2 29 2" xfId="805"/>
    <cellStyle name="Separador de milhares 2 29 2 2" xfId="806"/>
    <cellStyle name="Separador de milhares 2 29 2 2 2" xfId="807"/>
    <cellStyle name="Separador de milhares 2 29 2 3" xfId="808"/>
    <cellStyle name="Separador de milhares 2 3" xfId="809"/>
    <cellStyle name="Separador de milhares 2 3 2" xfId="810"/>
    <cellStyle name="Separador de milhares 2 3 2 2" xfId="811"/>
    <cellStyle name="Separador de milhares 2 3 2 2 2" xfId="812"/>
    <cellStyle name="Separador de milhares 2 3 2 3" xfId="813"/>
    <cellStyle name="Separador de milhares 2 30" xfId="814"/>
    <cellStyle name="Separador de milhares 2 30 2" xfId="815"/>
    <cellStyle name="Separador de milhares 2 30 2 2" xfId="816"/>
    <cellStyle name="Separador de milhares 2 30 2 2 2" xfId="817"/>
    <cellStyle name="Separador de milhares 2 30 2 3" xfId="818"/>
    <cellStyle name="Separador de milhares 2 31" xfId="819"/>
    <cellStyle name="Separador de milhares 2 31 2" xfId="820"/>
    <cellStyle name="Separador de milhares 2 31 2 2" xfId="821"/>
    <cellStyle name="Separador de milhares 2 31 2 2 2" xfId="822"/>
    <cellStyle name="Separador de milhares 2 31 2 3" xfId="823"/>
    <cellStyle name="Separador de milhares 2 4" xfId="824"/>
    <cellStyle name="Separador de milhares 2 4 2" xfId="825"/>
    <cellStyle name="Separador de milhares 2 4 2 2" xfId="826"/>
    <cellStyle name="Separador de milhares 2 4 2 2 2" xfId="827"/>
    <cellStyle name="Separador de milhares 2 4 2 3" xfId="828"/>
    <cellStyle name="Separador de milhares 2 5" xfId="829"/>
    <cellStyle name="Separador de milhares 2 5 2" xfId="830"/>
    <cellStyle name="Separador de milhares 2 5 2 2" xfId="831"/>
    <cellStyle name="Separador de milhares 2 5 2 2 2" xfId="832"/>
    <cellStyle name="Separador de milhares 2 5 2 3" xfId="833"/>
    <cellStyle name="Separador de milhares 2 6" xfId="834"/>
    <cellStyle name="Separador de milhares 2 6 2" xfId="835"/>
    <cellStyle name="Separador de milhares 2 6 2 2" xfId="836"/>
    <cellStyle name="Separador de milhares 2 6 2 2 2" xfId="837"/>
    <cellStyle name="Separador de milhares 2 6 2 3" xfId="838"/>
    <cellStyle name="Separador de milhares 2 7" xfId="839"/>
    <cellStyle name="Separador de milhares 2 7 2" xfId="840"/>
    <cellStyle name="Separador de milhares 2 7 2 2" xfId="841"/>
    <cellStyle name="Separador de milhares 2 7 2 2 2" xfId="842"/>
    <cellStyle name="Separador de milhares 2 7 2 3" xfId="843"/>
    <cellStyle name="Separador de milhares 2 8" xfId="844"/>
    <cellStyle name="Separador de milhares 2 8 2" xfId="845"/>
    <cellStyle name="Separador de milhares 2 8 2 2" xfId="846"/>
    <cellStyle name="Separador de milhares 2 8 2 2 2" xfId="847"/>
    <cellStyle name="Separador de milhares 2 8 2 3" xfId="848"/>
    <cellStyle name="Separador de milhares 2 9" xfId="849"/>
    <cellStyle name="Separador de milhares 2 9 2" xfId="850"/>
    <cellStyle name="Separador de milhares 2 9 2 2" xfId="851"/>
    <cellStyle name="Separador de milhares 2 9 2 2 2" xfId="852"/>
    <cellStyle name="Separador de milhares 2 9 2 3" xfId="853"/>
    <cellStyle name="Separador de milhares 20" xfId="854"/>
    <cellStyle name="Separador de milhares 20 2" xfId="855"/>
    <cellStyle name="Separador de milhares 20 2 2" xfId="856"/>
    <cellStyle name="Separador de milhares 20 2 2 2" xfId="857"/>
    <cellStyle name="Separador de milhares 20 2 3" xfId="858"/>
    <cellStyle name="Separador de milhares 21" xfId="859"/>
    <cellStyle name="Separador de milhares 21 2" xfId="860"/>
    <cellStyle name="Separador de milhares 21 2 2" xfId="861"/>
    <cellStyle name="Separador de milhares 21 2 2 2" xfId="862"/>
    <cellStyle name="Separador de milhares 21 2 3" xfId="863"/>
    <cellStyle name="Separador de milhares 22" xfId="864"/>
    <cellStyle name="Separador de milhares 22 2" xfId="865"/>
    <cellStyle name="Separador de milhares 22 2 2" xfId="866"/>
    <cellStyle name="Separador de milhares 22 2 2 2" xfId="867"/>
    <cellStyle name="Separador de milhares 22 2 3" xfId="868"/>
    <cellStyle name="Separador de milhares 23" xfId="869"/>
    <cellStyle name="Separador de milhares 23 2" xfId="870"/>
    <cellStyle name="Separador de milhares 23 2 2" xfId="871"/>
    <cellStyle name="Separador de milhares 23 2 2 2" xfId="872"/>
    <cellStyle name="Separador de milhares 23 2 3" xfId="873"/>
    <cellStyle name="Separador de milhares 24" xfId="874"/>
    <cellStyle name="Separador de milhares 24 2" xfId="875"/>
    <cellStyle name="Separador de milhares 24 2 2" xfId="876"/>
    <cellStyle name="Separador de milhares 24 2 2 2" xfId="877"/>
    <cellStyle name="Separador de milhares 24 2 3" xfId="878"/>
    <cellStyle name="Separador de milhares 25" xfId="879"/>
    <cellStyle name="Separador de milhares 25 2" xfId="880"/>
    <cellStyle name="Separador de milhares 25 2 2" xfId="881"/>
    <cellStyle name="Separador de milhares 25 2 2 2" xfId="882"/>
    <cellStyle name="Separador de milhares 25 2 3" xfId="883"/>
    <cellStyle name="Separador de milhares 26" xfId="884"/>
    <cellStyle name="Separador de milhares 26 2" xfId="885"/>
    <cellStyle name="Separador de milhares 26 2 2" xfId="886"/>
    <cellStyle name="Separador de milhares 26 2 2 2" xfId="887"/>
    <cellStyle name="Separador de milhares 26 2 3" xfId="888"/>
    <cellStyle name="Separador de milhares 27" xfId="889"/>
    <cellStyle name="Separador de milhares 27 2" xfId="890"/>
    <cellStyle name="Separador de milhares 27 2 2" xfId="891"/>
    <cellStyle name="Separador de milhares 27 2 2 2" xfId="892"/>
    <cellStyle name="Separador de milhares 27 2 3" xfId="893"/>
    <cellStyle name="Separador de milhares 28" xfId="894"/>
    <cellStyle name="Separador de milhares 28 2" xfId="895"/>
    <cellStyle name="Separador de milhares 28 2 2" xfId="896"/>
    <cellStyle name="Separador de milhares 28 2 2 2" xfId="897"/>
    <cellStyle name="Separador de milhares 28 2 3" xfId="898"/>
    <cellStyle name="Separador de milhares 29" xfId="899"/>
    <cellStyle name="Separador de milhares 29 2" xfId="900"/>
    <cellStyle name="Separador de milhares 29 2 2" xfId="901"/>
    <cellStyle name="Separador de milhares 29 2 2 2" xfId="902"/>
    <cellStyle name="Separador de milhares 29 2 3" xfId="903"/>
    <cellStyle name="Separador de milhares 3 2" xfId="904"/>
    <cellStyle name="Separador de milhares 3 2 2" xfId="905"/>
    <cellStyle name="Separador de milhares 3 2 2 2" xfId="906"/>
    <cellStyle name="Separador de milhares 3 2 2 2 2" xfId="907"/>
    <cellStyle name="Separador de milhares 3 2 2 3" xfId="908"/>
    <cellStyle name="Separador de milhares 3 3" xfId="909"/>
    <cellStyle name="Separador de milhares 3 3 2" xfId="910"/>
    <cellStyle name="Separador de milhares 3 3 2 2" xfId="911"/>
    <cellStyle name="Separador de milhares 3 3 2 2 2" xfId="912"/>
    <cellStyle name="Separador de milhares 3 3 2 3" xfId="913"/>
    <cellStyle name="Separador de milhares 3 4" xfId="914"/>
    <cellStyle name="Separador de milhares 3 4 2" xfId="915"/>
    <cellStyle name="Separador de milhares 3 4 2 2" xfId="916"/>
    <cellStyle name="Separador de milhares 3 4 2 2 2" xfId="917"/>
    <cellStyle name="Separador de milhares 3 4 2 3" xfId="918"/>
    <cellStyle name="Separador de milhares 30" xfId="919"/>
    <cellStyle name="Separador de milhares 30 2" xfId="920"/>
    <cellStyle name="Separador de milhares 30 2 2" xfId="921"/>
    <cellStyle name="Separador de milhares 30 2 2 2" xfId="922"/>
    <cellStyle name="Separador de milhares 30 2 3" xfId="923"/>
    <cellStyle name="Separador de milhares 31" xfId="924"/>
    <cellStyle name="Separador de milhares 31 2" xfId="925"/>
    <cellStyle name="Separador de milhares 31 2 2" xfId="926"/>
    <cellStyle name="Separador de milhares 31 2 2 2" xfId="927"/>
    <cellStyle name="Separador de milhares 31 2 3" xfId="928"/>
    <cellStyle name="Separador de milhares 4" xfId="929"/>
    <cellStyle name="Separador de milhares 4 2" xfId="930"/>
    <cellStyle name="Separador de milhares 4 2 2" xfId="931"/>
    <cellStyle name="Separador de milhares 4 2 2 2" xfId="932"/>
    <cellStyle name="Separador de milhares 4 2 3" xfId="933"/>
    <cellStyle name="Separador de milhares 5" xfId="934"/>
    <cellStyle name="Separador de milhares 5 2" xfId="935"/>
    <cellStyle name="Separador de milhares 5 2 2" xfId="936"/>
    <cellStyle name="Separador de milhares 5 2 2 2" xfId="937"/>
    <cellStyle name="Separador de milhares 5 2 2 2 2" xfId="938"/>
    <cellStyle name="Separador de milhares 5 2 2 3" xfId="939"/>
    <cellStyle name="Separador de milhares 5 3" xfId="940"/>
    <cellStyle name="Separador de milhares 5 3 2" xfId="941"/>
    <cellStyle name="Separador de milhares 5 3 2 2" xfId="942"/>
    <cellStyle name="Separador de milhares 5 3 2 2 2" xfId="943"/>
    <cellStyle name="Separador de milhares 5 3 2 3" xfId="944"/>
    <cellStyle name="Separador de milhares 5 4" xfId="945"/>
    <cellStyle name="Separador de milhares 5 4 2" xfId="946"/>
    <cellStyle name="Separador de milhares 5 4 2 2" xfId="947"/>
    <cellStyle name="Separador de milhares 5 4 3" xfId="948"/>
    <cellStyle name="Separador de milhares 6" xfId="949"/>
    <cellStyle name="Separador de milhares 6 2" xfId="950"/>
    <cellStyle name="Separador de milhares 6 2 2" xfId="951"/>
    <cellStyle name="Separador de milhares 6 2 2 2" xfId="952"/>
    <cellStyle name="Separador de milhares 6 2 2 2 2" xfId="953"/>
    <cellStyle name="Separador de milhares 6 2 2 3" xfId="954"/>
    <cellStyle name="Separador de milhares 6 3" xfId="955"/>
    <cellStyle name="Separador de milhares 6 3 2" xfId="956"/>
    <cellStyle name="Separador de milhares 6 3 2 2" xfId="957"/>
    <cellStyle name="Separador de milhares 6 3 3" xfId="958"/>
    <cellStyle name="Separador de milhares 7" xfId="959"/>
    <cellStyle name="Separador de milhares 7 2" xfId="960"/>
    <cellStyle name="Separador de milhares 7 2 2" xfId="961"/>
    <cellStyle name="Separador de milhares 7 2 2 2" xfId="962"/>
    <cellStyle name="Separador de milhares 7 2 3" xfId="963"/>
    <cellStyle name="Separador de milhares 8" xfId="964"/>
    <cellStyle name="Separador de milhares 8 2" xfId="965"/>
    <cellStyle name="Separador de milhares 8 2 2" xfId="966"/>
    <cellStyle name="Separador de milhares 8 2 2 2" xfId="967"/>
    <cellStyle name="Separador de milhares 8 2 3" xfId="968"/>
    <cellStyle name="Separador de milhares 9" xfId="969"/>
    <cellStyle name="Separador de milhares 9 2" xfId="970"/>
    <cellStyle name="Separador de milhares 9 2 2" xfId="971"/>
    <cellStyle name="Separador de milhares 9 2 2 2" xfId="972"/>
    <cellStyle name="Separador de milhares 9 2 3" xfId="973"/>
    <cellStyle name="Separador de milhares_TRANSPORTE_QUENTE_E_FRIO 2" xfId="974"/>
    <cellStyle name="Texto de Aviso 2" xfId="975"/>
    <cellStyle name="Texto de Aviso 2 2" xfId="976"/>
    <cellStyle name="Texto de Aviso 2 3" xfId="977"/>
    <cellStyle name="Texto de Aviso 2_ORÇAMENTO - FORUM DE V. GRANDE" xfId="978"/>
    <cellStyle name="Texto de Aviso 3" xfId="979"/>
    <cellStyle name="Texto de Aviso 4" xfId="980"/>
    <cellStyle name="Texto de Aviso 5" xfId="981"/>
    <cellStyle name="Texto de Aviso 6" xfId="982"/>
    <cellStyle name="Texto Explicativo 2" xfId="983"/>
    <cellStyle name="Texto Explicativo 2 2" xfId="984"/>
    <cellStyle name="Texto Explicativo 2 3" xfId="985"/>
    <cellStyle name="Texto Explicativo 2_ORÇAMENTO - FORUM DE V. GRANDE" xfId="986"/>
    <cellStyle name="Texto Explicativo 3" xfId="987"/>
    <cellStyle name="Texto Explicativo 4" xfId="988"/>
    <cellStyle name="Texto Explicativo 5" xfId="989"/>
    <cellStyle name="Texto Explicativo 6" xfId="990"/>
    <cellStyle name="Title" xfId="991"/>
    <cellStyle name="Título 1 2" xfId="992"/>
    <cellStyle name="Título 1 2 2" xfId="993"/>
    <cellStyle name="Título 1 2 3" xfId="994"/>
    <cellStyle name="Título 1 2_CIVIL- BL 1-2-3-4-5-6-7-8 " xfId="995"/>
    <cellStyle name="Título 1 3" xfId="996"/>
    <cellStyle name="Título 1 4" xfId="997"/>
    <cellStyle name="Título 1 5" xfId="998"/>
    <cellStyle name="Título 1 6" xfId="999"/>
    <cellStyle name="Título 10" xfId="1000"/>
    <cellStyle name="Título 2 2" xfId="1001"/>
    <cellStyle name="Título 2 2 2" xfId="1002"/>
    <cellStyle name="Título 2 2 3" xfId="1003"/>
    <cellStyle name="Título 2 2_CIVIL- BL 1-2-3-4-5-6-7-8 " xfId="1004"/>
    <cellStyle name="Título 2 3" xfId="1005"/>
    <cellStyle name="Título 2 4" xfId="1006"/>
    <cellStyle name="Título 2 5" xfId="1007"/>
    <cellStyle name="Título 2 6" xfId="1008"/>
    <cellStyle name="Título 3 2" xfId="1009"/>
    <cellStyle name="Título 3 2 2" xfId="1010"/>
    <cellStyle name="Título 3 2 3" xfId="1011"/>
    <cellStyle name="Título 3 2_CIVIL- BL 1-2-3-4-5-6-7-8 " xfId="1012"/>
    <cellStyle name="Título 3 3" xfId="1013"/>
    <cellStyle name="Título 3 4" xfId="1014"/>
    <cellStyle name="Título 3 5" xfId="1015"/>
    <cellStyle name="Título 3 6" xfId="1016"/>
    <cellStyle name="Título 4 2" xfId="1017"/>
    <cellStyle name="Título 4 2 2" xfId="1018"/>
    <cellStyle name="Título 4 2 3" xfId="1019"/>
    <cellStyle name="Título 4 2_ORÇAMENTO - FORUM DE V. GRANDE" xfId="1020"/>
    <cellStyle name="Título 4 3" xfId="1021"/>
    <cellStyle name="Título 4 4" xfId="1022"/>
    <cellStyle name="Título 4 5" xfId="1023"/>
    <cellStyle name="Título 4 6" xfId="1024"/>
    <cellStyle name="Título 5" xfId="1025"/>
    <cellStyle name="Título 5 2" xfId="1026"/>
    <cellStyle name="Título 5 3" xfId="1027"/>
    <cellStyle name="Título 5_ORÇAMENTO - FORUM DE V. GRANDE" xfId="1028"/>
    <cellStyle name="Título 6" xfId="1029"/>
    <cellStyle name="Título 7" xfId="1030"/>
    <cellStyle name="Título 8" xfId="1031"/>
    <cellStyle name="Título 9" xfId="1032"/>
    <cellStyle name="Total 2" xfId="1033"/>
    <cellStyle name="Total 2 2" xfId="1034"/>
    <cellStyle name="Total 2 3" xfId="1035"/>
    <cellStyle name="Total 2_CIVIL- BL 1-2-3-4-5-6-7-8 " xfId="1036"/>
    <cellStyle name="Total 3" xfId="1037"/>
    <cellStyle name="Total 4" xfId="1038"/>
    <cellStyle name="Total 5" xfId="1039"/>
    <cellStyle name="Total 6" xfId="1040"/>
    <cellStyle name="Total 7" xfId="1041"/>
    <cellStyle name="Vírgula" xfId="1042" builtinId="3"/>
    <cellStyle name="Vírgula 2" xfId="1043"/>
    <cellStyle name="Vírgula 2 2" xfId="1044"/>
    <cellStyle name="Vírgula 2 2 2" xfId="1045"/>
    <cellStyle name="Vírgula 2 2 2 2" xfId="1046"/>
    <cellStyle name="Vírgula 2 2 2 2 2" xfId="1047"/>
    <cellStyle name="Vírgula 2 2 2 3" xfId="1048"/>
    <cellStyle name="Vírgula 2 3" xfId="1049"/>
    <cellStyle name="Vírgula 2 3 2" xfId="1050"/>
    <cellStyle name="Vírgula 2 3 2 2" xfId="1051"/>
    <cellStyle name="Vírgula 2 3 2 2 2" xfId="1052"/>
    <cellStyle name="Vírgula 2 3 2 3" xfId="1053"/>
    <cellStyle name="Vírgula 2 4" xfId="1054"/>
    <cellStyle name="Vírgula 2 4 2" xfId="1055"/>
    <cellStyle name="Vírgula 2 4 2 2" xfId="1056"/>
    <cellStyle name="Vírgula 2 4 3" xfId="1057"/>
    <cellStyle name="Vírgula 3" xfId="1058"/>
    <cellStyle name="Vírgula 3 2" xfId="1059"/>
    <cellStyle name="Vírgula 3 2 2" xfId="1060"/>
    <cellStyle name="Vírgula 3 2 2 2" xfId="1061"/>
    <cellStyle name="Vírgula 3 2 2 2 2" xfId="1062"/>
    <cellStyle name="Vírgula 3 2 2 3" xfId="1063"/>
    <cellStyle name="Vírgula 3 3" xfId="1064"/>
    <cellStyle name="Vírgula 3 3 2" xfId="1065"/>
    <cellStyle name="Vírgula 3 3 2 2" xfId="1066"/>
    <cellStyle name="Vírgula 3 3 3" xfId="1067"/>
    <cellStyle name="Vírgula 4" xfId="1068"/>
    <cellStyle name="Vírgula 4 2" xfId="1069"/>
    <cellStyle name="Vírgula 4 2 2" xfId="1070"/>
    <cellStyle name="Vírgula 4 2 2 2" xfId="1071"/>
    <cellStyle name="Vírgula 4 2 2 2 2" xfId="1072"/>
    <cellStyle name="Vírgula 4 2 2 3" xfId="1073"/>
    <cellStyle name="Vírgula 4 3" xfId="1074"/>
    <cellStyle name="Vírgula 4 3 2" xfId="1075"/>
    <cellStyle name="Vírgula 4 3 2 2" xfId="1076"/>
    <cellStyle name="Vírgula 4 3 3" xfId="1077"/>
    <cellStyle name="Vírgula 5" xfId="1078"/>
    <cellStyle name="Vírgula 5 2" xfId="1079"/>
    <cellStyle name="Vírgula 5 2 2" xfId="1080"/>
    <cellStyle name="Vírgula 5 2 2 2" xfId="1081"/>
    <cellStyle name="Vírgula 5 2 3" xfId="1082"/>
    <cellStyle name="Vírgula 5 3" xfId="1083"/>
    <cellStyle name="Vírgula 5 3 2" xfId="1084"/>
    <cellStyle name="Vírgula 5 4" xfId="1085"/>
    <cellStyle name="Vírgula 6" xfId="1086"/>
    <cellStyle name="Vírgula 6 2" xfId="1087"/>
    <cellStyle name="Vírgula 6 2 2" xfId="1088"/>
    <cellStyle name="Vírgula 6 3" xfId="1089"/>
    <cellStyle name="Warning Text" xfId="109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28</xdr:row>
      <xdr:rowOff>57150</xdr:rowOff>
    </xdr:from>
    <xdr:to>
      <xdr:col>5</xdr:col>
      <xdr:colOff>152400</xdr:colOff>
      <xdr:row>34</xdr:row>
      <xdr:rowOff>85725</xdr:rowOff>
    </xdr:to>
    <xdr:pic>
      <xdr:nvPicPr>
        <xdr:cNvPr id="37291" name="Picture 3">
          <a:extLst>
            <a:ext uri="{FF2B5EF4-FFF2-40B4-BE49-F238E27FC236}">
              <a16:creationId xmlns:a16="http://schemas.microsoft.com/office/drawing/2014/main" id="{00000000-0008-0000-0700-0000AB9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419725"/>
          <a:ext cx="3476625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28</xdr:row>
      <xdr:rowOff>57150</xdr:rowOff>
    </xdr:from>
    <xdr:to>
      <xdr:col>5</xdr:col>
      <xdr:colOff>152400</xdr:colOff>
      <xdr:row>34</xdr:row>
      <xdr:rowOff>85725</xdr:rowOff>
    </xdr:to>
    <xdr:pic>
      <xdr:nvPicPr>
        <xdr:cNvPr id="44329" name="Picture 3">
          <a:extLst>
            <a:ext uri="{FF2B5EF4-FFF2-40B4-BE49-F238E27FC236}">
              <a16:creationId xmlns:a16="http://schemas.microsoft.com/office/drawing/2014/main" id="{00000000-0008-0000-0800-000029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362575"/>
          <a:ext cx="3476625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5</xdr:row>
      <xdr:rowOff>76200</xdr:rowOff>
    </xdr:from>
    <xdr:to>
      <xdr:col>1</xdr:col>
      <xdr:colOff>1200150</xdr:colOff>
      <xdr:row>5</xdr:row>
      <xdr:rowOff>590550</xdr:rowOff>
    </xdr:to>
    <xdr:pic>
      <xdr:nvPicPr>
        <xdr:cNvPr id="64951" name="Imagem 1" descr="Resultado de imagem para pare">
          <a:extLst>
            <a:ext uri="{FF2B5EF4-FFF2-40B4-BE49-F238E27FC236}">
              <a16:creationId xmlns:a16="http://schemas.microsoft.com/office/drawing/2014/main" id="{00000000-0008-0000-0A00-0000B7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1144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</xdr:row>
      <xdr:rowOff>95250</xdr:rowOff>
    </xdr:from>
    <xdr:to>
      <xdr:col>1</xdr:col>
      <xdr:colOff>1304925</xdr:colOff>
      <xdr:row>6</xdr:row>
      <xdr:rowOff>542925</xdr:rowOff>
    </xdr:to>
    <xdr:pic>
      <xdr:nvPicPr>
        <xdr:cNvPr id="64952" name="Imagem 2" descr="Imagem relacionada">
          <a:extLst>
            <a:ext uri="{FF2B5EF4-FFF2-40B4-BE49-F238E27FC236}">
              <a16:creationId xmlns:a16="http://schemas.microsoft.com/office/drawing/2014/main" id="{00000000-0008-0000-0A00-0000B8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145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</xdr:row>
      <xdr:rowOff>76200</xdr:rowOff>
    </xdr:from>
    <xdr:to>
      <xdr:col>1</xdr:col>
      <xdr:colOff>1200150</xdr:colOff>
      <xdr:row>9</xdr:row>
      <xdr:rowOff>590550</xdr:rowOff>
    </xdr:to>
    <xdr:pic>
      <xdr:nvPicPr>
        <xdr:cNvPr id="64953" name="Imagem 1" descr="Resultado de imagem para pare">
          <a:extLst>
            <a:ext uri="{FF2B5EF4-FFF2-40B4-BE49-F238E27FC236}">
              <a16:creationId xmlns:a16="http://schemas.microsoft.com/office/drawing/2014/main" id="{00000000-0008-0000-0A00-0000B9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337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10</xdr:row>
      <xdr:rowOff>95250</xdr:rowOff>
    </xdr:from>
    <xdr:to>
      <xdr:col>1</xdr:col>
      <xdr:colOff>1304925</xdr:colOff>
      <xdr:row>10</xdr:row>
      <xdr:rowOff>542925</xdr:rowOff>
    </xdr:to>
    <xdr:pic>
      <xdr:nvPicPr>
        <xdr:cNvPr id="64954" name="Imagem 2" descr="Imagem relacionada">
          <a:extLst>
            <a:ext uri="{FF2B5EF4-FFF2-40B4-BE49-F238E27FC236}">
              <a16:creationId xmlns:a16="http://schemas.microsoft.com/office/drawing/2014/main" id="{00000000-0008-0000-0A00-0000BA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9338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13</xdr:row>
      <xdr:rowOff>76200</xdr:rowOff>
    </xdr:from>
    <xdr:to>
      <xdr:col>1</xdr:col>
      <xdr:colOff>1200150</xdr:colOff>
      <xdr:row>13</xdr:row>
      <xdr:rowOff>590550</xdr:rowOff>
    </xdr:to>
    <xdr:pic>
      <xdr:nvPicPr>
        <xdr:cNvPr id="64955" name="Imagem 1" descr="Resultado de imagem para pare">
          <a:extLst>
            <a:ext uri="{FF2B5EF4-FFF2-40B4-BE49-F238E27FC236}">
              <a16:creationId xmlns:a16="http://schemas.microsoft.com/office/drawing/2014/main" id="{00000000-0008-0000-0A00-0000BB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1530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14</xdr:row>
      <xdr:rowOff>95250</xdr:rowOff>
    </xdr:from>
    <xdr:to>
      <xdr:col>1</xdr:col>
      <xdr:colOff>1304925</xdr:colOff>
      <xdr:row>14</xdr:row>
      <xdr:rowOff>542925</xdr:rowOff>
    </xdr:to>
    <xdr:pic>
      <xdr:nvPicPr>
        <xdr:cNvPr id="64956" name="Imagem 2" descr="Imagem relacionada">
          <a:extLst>
            <a:ext uri="{FF2B5EF4-FFF2-40B4-BE49-F238E27FC236}">
              <a16:creationId xmlns:a16="http://schemas.microsoft.com/office/drawing/2014/main" id="{00000000-0008-0000-0A00-0000BC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9531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17</xdr:row>
      <xdr:rowOff>76200</xdr:rowOff>
    </xdr:from>
    <xdr:to>
      <xdr:col>1</xdr:col>
      <xdr:colOff>1200150</xdr:colOff>
      <xdr:row>17</xdr:row>
      <xdr:rowOff>590550</xdr:rowOff>
    </xdr:to>
    <xdr:pic>
      <xdr:nvPicPr>
        <xdr:cNvPr id="64957" name="Imagem 1" descr="Resultado de imagem para pare">
          <a:extLst>
            <a:ext uri="{FF2B5EF4-FFF2-40B4-BE49-F238E27FC236}">
              <a16:creationId xmlns:a16="http://schemas.microsoft.com/office/drawing/2014/main" id="{00000000-0008-0000-0A00-0000BD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71723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18</xdr:row>
      <xdr:rowOff>95250</xdr:rowOff>
    </xdr:from>
    <xdr:to>
      <xdr:col>1</xdr:col>
      <xdr:colOff>1304925</xdr:colOff>
      <xdr:row>18</xdr:row>
      <xdr:rowOff>542925</xdr:rowOff>
    </xdr:to>
    <xdr:pic>
      <xdr:nvPicPr>
        <xdr:cNvPr id="64958" name="Imagem 2" descr="Imagem relacionada">
          <a:extLst>
            <a:ext uri="{FF2B5EF4-FFF2-40B4-BE49-F238E27FC236}">
              <a16:creationId xmlns:a16="http://schemas.microsoft.com/office/drawing/2014/main" id="{00000000-0008-0000-0A00-0000BE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9724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21</xdr:row>
      <xdr:rowOff>76200</xdr:rowOff>
    </xdr:from>
    <xdr:to>
      <xdr:col>1</xdr:col>
      <xdr:colOff>1200150</xdr:colOff>
      <xdr:row>21</xdr:row>
      <xdr:rowOff>590550</xdr:rowOff>
    </xdr:to>
    <xdr:pic>
      <xdr:nvPicPr>
        <xdr:cNvPr id="64959" name="Imagem 1" descr="Resultado de imagem para pare">
          <a:extLst>
            <a:ext uri="{FF2B5EF4-FFF2-40B4-BE49-F238E27FC236}">
              <a16:creationId xmlns:a16="http://schemas.microsoft.com/office/drawing/2014/main" id="{00000000-0008-0000-0A00-0000BF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91916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22</xdr:row>
      <xdr:rowOff>95250</xdr:rowOff>
    </xdr:from>
    <xdr:to>
      <xdr:col>1</xdr:col>
      <xdr:colOff>1304925</xdr:colOff>
      <xdr:row>22</xdr:row>
      <xdr:rowOff>542925</xdr:rowOff>
    </xdr:to>
    <xdr:pic>
      <xdr:nvPicPr>
        <xdr:cNvPr id="64960" name="Imagem 2" descr="Imagem relacionada">
          <a:extLst>
            <a:ext uri="{FF2B5EF4-FFF2-40B4-BE49-F238E27FC236}">
              <a16:creationId xmlns:a16="http://schemas.microsoft.com/office/drawing/2014/main" id="{00000000-0008-0000-0A00-0000C0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9726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76200</xdr:rowOff>
    </xdr:from>
    <xdr:to>
      <xdr:col>1</xdr:col>
      <xdr:colOff>1200150</xdr:colOff>
      <xdr:row>25</xdr:row>
      <xdr:rowOff>590550</xdr:rowOff>
    </xdr:to>
    <xdr:pic>
      <xdr:nvPicPr>
        <xdr:cNvPr id="64961" name="Imagem 1" descr="Resultado de imagem para pare">
          <a:extLst>
            <a:ext uri="{FF2B5EF4-FFF2-40B4-BE49-F238E27FC236}">
              <a16:creationId xmlns:a16="http://schemas.microsoft.com/office/drawing/2014/main" id="{00000000-0008-0000-0A00-0000C1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11918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26</xdr:row>
      <xdr:rowOff>95250</xdr:rowOff>
    </xdr:from>
    <xdr:to>
      <xdr:col>1</xdr:col>
      <xdr:colOff>1304925</xdr:colOff>
      <xdr:row>26</xdr:row>
      <xdr:rowOff>542925</xdr:rowOff>
    </xdr:to>
    <xdr:pic>
      <xdr:nvPicPr>
        <xdr:cNvPr id="64962" name="Imagem 2" descr="Imagem relacionada">
          <a:extLst>
            <a:ext uri="{FF2B5EF4-FFF2-40B4-BE49-F238E27FC236}">
              <a16:creationId xmlns:a16="http://schemas.microsoft.com/office/drawing/2014/main" id="{00000000-0008-0000-0A00-0000C2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9729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29</xdr:row>
      <xdr:rowOff>76200</xdr:rowOff>
    </xdr:from>
    <xdr:to>
      <xdr:col>1</xdr:col>
      <xdr:colOff>1200150</xdr:colOff>
      <xdr:row>29</xdr:row>
      <xdr:rowOff>590550</xdr:rowOff>
    </xdr:to>
    <xdr:pic>
      <xdr:nvPicPr>
        <xdr:cNvPr id="64963" name="Imagem 1" descr="Resultado de imagem para pare">
          <a:extLst>
            <a:ext uri="{FF2B5EF4-FFF2-40B4-BE49-F238E27FC236}">
              <a16:creationId xmlns:a16="http://schemas.microsoft.com/office/drawing/2014/main" id="{00000000-0008-0000-0A00-0000C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31921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30</xdr:row>
      <xdr:rowOff>95250</xdr:rowOff>
    </xdr:from>
    <xdr:to>
      <xdr:col>1</xdr:col>
      <xdr:colOff>1304925</xdr:colOff>
      <xdr:row>30</xdr:row>
      <xdr:rowOff>542925</xdr:rowOff>
    </xdr:to>
    <xdr:pic>
      <xdr:nvPicPr>
        <xdr:cNvPr id="64964" name="Imagem 2" descr="Imagem relacionada">
          <a:extLst>
            <a:ext uri="{FF2B5EF4-FFF2-40B4-BE49-F238E27FC236}">
              <a16:creationId xmlns:a16="http://schemas.microsoft.com/office/drawing/2014/main" id="{00000000-0008-0000-0A00-0000C4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9731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33</xdr:row>
      <xdr:rowOff>76200</xdr:rowOff>
    </xdr:from>
    <xdr:to>
      <xdr:col>1</xdr:col>
      <xdr:colOff>1200150</xdr:colOff>
      <xdr:row>33</xdr:row>
      <xdr:rowOff>590550</xdr:rowOff>
    </xdr:to>
    <xdr:pic>
      <xdr:nvPicPr>
        <xdr:cNvPr id="64965" name="Imagem 1" descr="Resultado de imagem para pare">
          <a:extLst>
            <a:ext uri="{FF2B5EF4-FFF2-40B4-BE49-F238E27FC236}">
              <a16:creationId xmlns:a16="http://schemas.microsoft.com/office/drawing/2014/main" id="{00000000-0008-0000-0A00-0000C5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1923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34</xdr:row>
      <xdr:rowOff>95250</xdr:rowOff>
    </xdr:from>
    <xdr:to>
      <xdr:col>1</xdr:col>
      <xdr:colOff>1304925</xdr:colOff>
      <xdr:row>34</xdr:row>
      <xdr:rowOff>542925</xdr:rowOff>
    </xdr:to>
    <xdr:pic>
      <xdr:nvPicPr>
        <xdr:cNvPr id="64966" name="Imagem 2" descr="Imagem relacionada">
          <a:extLst>
            <a:ext uri="{FF2B5EF4-FFF2-40B4-BE49-F238E27FC236}">
              <a16:creationId xmlns:a16="http://schemas.microsoft.com/office/drawing/2014/main" id="{00000000-0008-0000-0A00-0000C6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9734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37</xdr:row>
      <xdr:rowOff>76200</xdr:rowOff>
    </xdr:from>
    <xdr:to>
      <xdr:col>1</xdr:col>
      <xdr:colOff>1200150</xdr:colOff>
      <xdr:row>37</xdr:row>
      <xdr:rowOff>590550</xdr:rowOff>
    </xdr:to>
    <xdr:pic>
      <xdr:nvPicPr>
        <xdr:cNvPr id="64967" name="Imagem 1" descr="Resultado de imagem para pare">
          <a:extLst>
            <a:ext uri="{FF2B5EF4-FFF2-40B4-BE49-F238E27FC236}">
              <a16:creationId xmlns:a16="http://schemas.microsoft.com/office/drawing/2014/main" id="{00000000-0008-0000-0A00-0000C7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71926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38</xdr:row>
      <xdr:rowOff>95250</xdr:rowOff>
    </xdr:from>
    <xdr:to>
      <xdr:col>1</xdr:col>
      <xdr:colOff>1304925</xdr:colOff>
      <xdr:row>38</xdr:row>
      <xdr:rowOff>542925</xdr:rowOff>
    </xdr:to>
    <xdr:pic>
      <xdr:nvPicPr>
        <xdr:cNvPr id="64968" name="Imagem 2" descr="Imagem relacionada">
          <a:extLst>
            <a:ext uri="{FF2B5EF4-FFF2-40B4-BE49-F238E27FC236}">
              <a16:creationId xmlns:a16="http://schemas.microsoft.com/office/drawing/2014/main" id="{00000000-0008-0000-0A00-0000C8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9736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41</xdr:row>
      <xdr:rowOff>76200</xdr:rowOff>
    </xdr:from>
    <xdr:to>
      <xdr:col>1</xdr:col>
      <xdr:colOff>1200150</xdr:colOff>
      <xdr:row>41</xdr:row>
      <xdr:rowOff>590550</xdr:rowOff>
    </xdr:to>
    <xdr:pic>
      <xdr:nvPicPr>
        <xdr:cNvPr id="64969" name="Imagem 1" descr="Resultado de imagem para pare">
          <a:extLst>
            <a:ext uri="{FF2B5EF4-FFF2-40B4-BE49-F238E27FC236}">
              <a16:creationId xmlns:a16="http://schemas.microsoft.com/office/drawing/2014/main" id="{00000000-0008-0000-0A00-0000C9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91928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42</xdr:row>
      <xdr:rowOff>95250</xdr:rowOff>
    </xdr:from>
    <xdr:to>
      <xdr:col>1</xdr:col>
      <xdr:colOff>1304925</xdr:colOff>
      <xdr:row>42</xdr:row>
      <xdr:rowOff>542925</xdr:rowOff>
    </xdr:to>
    <xdr:pic>
      <xdr:nvPicPr>
        <xdr:cNvPr id="64970" name="Imagem 2" descr="Imagem relacionada">
          <a:extLst>
            <a:ext uri="{FF2B5EF4-FFF2-40B4-BE49-F238E27FC236}">
              <a16:creationId xmlns:a16="http://schemas.microsoft.com/office/drawing/2014/main" id="{00000000-0008-0000-0A00-0000CA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9739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45</xdr:row>
      <xdr:rowOff>76200</xdr:rowOff>
    </xdr:from>
    <xdr:to>
      <xdr:col>1</xdr:col>
      <xdr:colOff>1200150</xdr:colOff>
      <xdr:row>45</xdr:row>
      <xdr:rowOff>590550</xdr:rowOff>
    </xdr:to>
    <xdr:pic>
      <xdr:nvPicPr>
        <xdr:cNvPr id="64971" name="Imagem 1" descr="Resultado de imagem para pare">
          <a:extLst>
            <a:ext uri="{FF2B5EF4-FFF2-40B4-BE49-F238E27FC236}">
              <a16:creationId xmlns:a16="http://schemas.microsoft.com/office/drawing/2014/main" id="{00000000-0008-0000-0A00-0000CB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11931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46</xdr:row>
      <xdr:rowOff>95250</xdr:rowOff>
    </xdr:from>
    <xdr:to>
      <xdr:col>1</xdr:col>
      <xdr:colOff>1304925</xdr:colOff>
      <xdr:row>46</xdr:row>
      <xdr:rowOff>542925</xdr:rowOff>
    </xdr:to>
    <xdr:pic>
      <xdr:nvPicPr>
        <xdr:cNvPr id="64972" name="Imagem 2" descr="Imagem relacionada">
          <a:extLst>
            <a:ext uri="{FF2B5EF4-FFF2-40B4-BE49-F238E27FC236}">
              <a16:creationId xmlns:a16="http://schemas.microsoft.com/office/drawing/2014/main" id="{00000000-0008-0000-0A00-0000CC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9741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49</xdr:row>
      <xdr:rowOff>76200</xdr:rowOff>
    </xdr:from>
    <xdr:to>
      <xdr:col>1</xdr:col>
      <xdr:colOff>1200150</xdr:colOff>
      <xdr:row>49</xdr:row>
      <xdr:rowOff>590550</xdr:rowOff>
    </xdr:to>
    <xdr:pic>
      <xdr:nvPicPr>
        <xdr:cNvPr id="64973" name="Imagem 1" descr="Resultado de imagem para pare">
          <a:extLst>
            <a:ext uri="{FF2B5EF4-FFF2-40B4-BE49-F238E27FC236}">
              <a16:creationId xmlns:a16="http://schemas.microsoft.com/office/drawing/2014/main" id="{00000000-0008-0000-0A00-0000CD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1933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50</xdr:row>
      <xdr:rowOff>95250</xdr:rowOff>
    </xdr:from>
    <xdr:to>
      <xdr:col>1</xdr:col>
      <xdr:colOff>1304925</xdr:colOff>
      <xdr:row>50</xdr:row>
      <xdr:rowOff>542925</xdr:rowOff>
    </xdr:to>
    <xdr:pic>
      <xdr:nvPicPr>
        <xdr:cNvPr id="64974" name="Imagem 2" descr="Imagem relacionada">
          <a:extLst>
            <a:ext uri="{FF2B5EF4-FFF2-40B4-BE49-F238E27FC236}">
              <a16:creationId xmlns:a16="http://schemas.microsoft.com/office/drawing/2014/main" id="{00000000-0008-0000-0A00-0000CE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9744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53</xdr:row>
      <xdr:rowOff>76200</xdr:rowOff>
    </xdr:from>
    <xdr:to>
      <xdr:col>1</xdr:col>
      <xdr:colOff>1200150</xdr:colOff>
      <xdr:row>53</xdr:row>
      <xdr:rowOff>590550</xdr:rowOff>
    </xdr:to>
    <xdr:pic>
      <xdr:nvPicPr>
        <xdr:cNvPr id="64975" name="Imagem 1" descr="Resultado de imagem para pare">
          <a:extLst>
            <a:ext uri="{FF2B5EF4-FFF2-40B4-BE49-F238E27FC236}">
              <a16:creationId xmlns:a16="http://schemas.microsoft.com/office/drawing/2014/main" id="{00000000-0008-0000-0A00-0000CF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51936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54</xdr:row>
      <xdr:rowOff>95250</xdr:rowOff>
    </xdr:from>
    <xdr:to>
      <xdr:col>1</xdr:col>
      <xdr:colOff>1304925</xdr:colOff>
      <xdr:row>54</xdr:row>
      <xdr:rowOff>542925</xdr:rowOff>
    </xdr:to>
    <xdr:pic>
      <xdr:nvPicPr>
        <xdr:cNvPr id="64976" name="Imagem 2" descr="Imagem relacionada">
          <a:extLst>
            <a:ext uri="{FF2B5EF4-FFF2-40B4-BE49-F238E27FC236}">
              <a16:creationId xmlns:a16="http://schemas.microsoft.com/office/drawing/2014/main" id="{00000000-0008-0000-0A00-0000D0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9746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57</xdr:row>
      <xdr:rowOff>76200</xdr:rowOff>
    </xdr:from>
    <xdr:to>
      <xdr:col>1</xdr:col>
      <xdr:colOff>1200150</xdr:colOff>
      <xdr:row>57</xdr:row>
      <xdr:rowOff>590550</xdr:rowOff>
    </xdr:to>
    <xdr:pic>
      <xdr:nvPicPr>
        <xdr:cNvPr id="64977" name="Imagem 1" descr="Resultado de imagem para pare">
          <a:extLst>
            <a:ext uri="{FF2B5EF4-FFF2-40B4-BE49-F238E27FC236}">
              <a16:creationId xmlns:a16="http://schemas.microsoft.com/office/drawing/2014/main" id="{00000000-0008-0000-0A00-0000D1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71938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58</xdr:row>
      <xdr:rowOff>95250</xdr:rowOff>
    </xdr:from>
    <xdr:to>
      <xdr:col>1</xdr:col>
      <xdr:colOff>1304925</xdr:colOff>
      <xdr:row>58</xdr:row>
      <xdr:rowOff>542925</xdr:rowOff>
    </xdr:to>
    <xdr:pic>
      <xdr:nvPicPr>
        <xdr:cNvPr id="64978" name="Imagem 2" descr="Imagem relacionada">
          <a:extLst>
            <a:ext uri="{FF2B5EF4-FFF2-40B4-BE49-F238E27FC236}">
              <a16:creationId xmlns:a16="http://schemas.microsoft.com/office/drawing/2014/main" id="{00000000-0008-0000-0A00-0000D2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9749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61</xdr:row>
      <xdr:rowOff>76200</xdr:rowOff>
    </xdr:from>
    <xdr:to>
      <xdr:col>1</xdr:col>
      <xdr:colOff>1200150</xdr:colOff>
      <xdr:row>61</xdr:row>
      <xdr:rowOff>590550</xdr:rowOff>
    </xdr:to>
    <xdr:pic>
      <xdr:nvPicPr>
        <xdr:cNvPr id="64979" name="Imagem 1" descr="Resultado de imagem para pare">
          <a:extLst>
            <a:ext uri="{FF2B5EF4-FFF2-40B4-BE49-F238E27FC236}">
              <a16:creationId xmlns:a16="http://schemas.microsoft.com/office/drawing/2014/main" id="{00000000-0008-0000-0A00-0000D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91941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62</xdr:row>
      <xdr:rowOff>95250</xdr:rowOff>
    </xdr:from>
    <xdr:to>
      <xdr:col>1</xdr:col>
      <xdr:colOff>1304925</xdr:colOff>
      <xdr:row>62</xdr:row>
      <xdr:rowOff>542925</xdr:rowOff>
    </xdr:to>
    <xdr:pic>
      <xdr:nvPicPr>
        <xdr:cNvPr id="64980" name="Imagem 2" descr="Imagem relacionada">
          <a:extLst>
            <a:ext uri="{FF2B5EF4-FFF2-40B4-BE49-F238E27FC236}">
              <a16:creationId xmlns:a16="http://schemas.microsoft.com/office/drawing/2014/main" id="{00000000-0008-0000-0A00-0000D4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9942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65</xdr:row>
      <xdr:rowOff>76200</xdr:rowOff>
    </xdr:from>
    <xdr:to>
      <xdr:col>1</xdr:col>
      <xdr:colOff>1200150</xdr:colOff>
      <xdr:row>65</xdr:row>
      <xdr:rowOff>590550</xdr:rowOff>
    </xdr:to>
    <xdr:pic>
      <xdr:nvPicPr>
        <xdr:cNvPr id="64981" name="Imagem 1" descr="Resultado de imagem para pare">
          <a:extLst>
            <a:ext uri="{FF2B5EF4-FFF2-40B4-BE49-F238E27FC236}">
              <a16:creationId xmlns:a16="http://schemas.microsoft.com/office/drawing/2014/main" id="{00000000-0008-0000-0A00-0000D5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2134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66</xdr:row>
      <xdr:rowOff>95250</xdr:rowOff>
    </xdr:from>
    <xdr:to>
      <xdr:col>1</xdr:col>
      <xdr:colOff>1304925</xdr:colOff>
      <xdr:row>66</xdr:row>
      <xdr:rowOff>542925</xdr:rowOff>
    </xdr:to>
    <xdr:pic>
      <xdr:nvPicPr>
        <xdr:cNvPr id="64982" name="Imagem 2" descr="Imagem relacionada">
          <a:extLst>
            <a:ext uri="{FF2B5EF4-FFF2-40B4-BE49-F238E27FC236}">
              <a16:creationId xmlns:a16="http://schemas.microsoft.com/office/drawing/2014/main" id="{00000000-0008-0000-0A00-0000D6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20135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69</xdr:row>
      <xdr:rowOff>76200</xdr:rowOff>
    </xdr:from>
    <xdr:to>
      <xdr:col>1</xdr:col>
      <xdr:colOff>1200150</xdr:colOff>
      <xdr:row>69</xdr:row>
      <xdr:rowOff>590550</xdr:rowOff>
    </xdr:to>
    <xdr:pic>
      <xdr:nvPicPr>
        <xdr:cNvPr id="64983" name="Imagem 1" descr="Resultado de imagem para pare">
          <a:extLst>
            <a:ext uri="{FF2B5EF4-FFF2-40B4-BE49-F238E27FC236}">
              <a16:creationId xmlns:a16="http://schemas.microsoft.com/office/drawing/2014/main" id="{00000000-0008-0000-0A00-0000D7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32327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70</xdr:row>
      <xdr:rowOff>95250</xdr:rowOff>
    </xdr:from>
    <xdr:to>
      <xdr:col>1</xdr:col>
      <xdr:colOff>1304925</xdr:colOff>
      <xdr:row>70</xdr:row>
      <xdr:rowOff>542925</xdr:rowOff>
    </xdr:to>
    <xdr:pic>
      <xdr:nvPicPr>
        <xdr:cNvPr id="64984" name="Imagem 2" descr="Imagem relacionada">
          <a:extLst>
            <a:ext uri="{FF2B5EF4-FFF2-40B4-BE49-F238E27FC236}">
              <a16:creationId xmlns:a16="http://schemas.microsoft.com/office/drawing/2014/main" id="{00000000-0008-0000-0A00-0000D8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40328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73</xdr:row>
      <xdr:rowOff>76200</xdr:rowOff>
    </xdr:from>
    <xdr:to>
      <xdr:col>1</xdr:col>
      <xdr:colOff>1200150</xdr:colOff>
      <xdr:row>73</xdr:row>
      <xdr:rowOff>590550</xdr:rowOff>
    </xdr:to>
    <xdr:pic>
      <xdr:nvPicPr>
        <xdr:cNvPr id="64985" name="Imagem 1" descr="Resultado de imagem para pare">
          <a:extLst>
            <a:ext uri="{FF2B5EF4-FFF2-40B4-BE49-F238E27FC236}">
              <a16:creationId xmlns:a16="http://schemas.microsoft.com/office/drawing/2014/main" id="{00000000-0008-0000-0A00-0000D9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52520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74</xdr:row>
      <xdr:rowOff>95250</xdr:rowOff>
    </xdr:from>
    <xdr:to>
      <xdr:col>1</xdr:col>
      <xdr:colOff>1304925</xdr:colOff>
      <xdr:row>74</xdr:row>
      <xdr:rowOff>542925</xdr:rowOff>
    </xdr:to>
    <xdr:pic>
      <xdr:nvPicPr>
        <xdr:cNvPr id="64986" name="Imagem 2" descr="Imagem relacionada">
          <a:extLst>
            <a:ext uri="{FF2B5EF4-FFF2-40B4-BE49-F238E27FC236}">
              <a16:creationId xmlns:a16="http://schemas.microsoft.com/office/drawing/2014/main" id="{00000000-0008-0000-0A00-0000DA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60521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77</xdr:row>
      <xdr:rowOff>76200</xdr:rowOff>
    </xdr:from>
    <xdr:to>
      <xdr:col>1</xdr:col>
      <xdr:colOff>1200150</xdr:colOff>
      <xdr:row>77</xdr:row>
      <xdr:rowOff>590550</xdr:rowOff>
    </xdr:to>
    <xdr:pic>
      <xdr:nvPicPr>
        <xdr:cNvPr id="64987" name="Imagem 1" descr="Resultado de imagem para pare">
          <a:extLst>
            <a:ext uri="{FF2B5EF4-FFF2-40B4-BE49-F238E27FC236}">
              <a16:creationId xmlns:a16="http://schemas.microsoft.com/office/drawing/2014/main" id="{00000000-0008-0000-0A00-0000DB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2903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78</xdr:row>
      <xdr:rowOff>95250</xdr:rowOff>
    </xdr:from>
    <xdr:to>
      <xdr:col>1</xdr:col>
      <xdr:colOff>1304925</xdr:colOff>
      <xdr:row>78</xdr:row>
      <xdr:rowOff>542925</xdr:rowOff>
    </xdr:to>
    <xdr:pic>
      <xdr:nvPicPr>
        <xdr:cNvPr id="64988" name="Imagem 2" descr="Imagem relacionada">
          <a:extLst>
            <a:ext uri="{FF2B5EF4-FFF2-40B4-BE49-F238E27FC236}">
              <a16:creationId xmlns:a16="http://schemas.microsoft.com/office/drawing/2014/main" id="{00000000-0008-0000-0A00-0000DC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80904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81</xdr:row>
      <xdr:rowOff>76200</xdr:rowOff>
    </xdr:from>
    <xdr:to>
      <xdr:col>1</xdr:col>
      <xdr:colOff>1200150</xdr:colOff>
      <xdr:row>81</xdr:row>
      <xdr:rowOff>590550</xdr:rowOff>
    </xdr:to>
    <xdr:pic>
      <xdr:nvPicPr>
        <xdr:cNvPr id="64989" name="Imagem 1" descr="Resultado de imagem para pare">
          <a:extLst>
            <a:ext uri="{FF2B5EF4-FFF2-40B4-BE49-F238E27FC236}">
              <a16:creationId xmlns:a16="http://schemas.microsoft.com/office/drawing/2014/main" id="{00000000-0008-0000-0A00-0000DD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93287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82</xdr:row>
      <xdr:rowOff>95250</xdr:rowOff>
    </xdr:from>
    <xdr:to>
      <xdr:col>1</xdr:col>
      <xdr:colOff>1304925</xdr:colOff>
      <xdr:row>82</xdr:row>
      <xdr:rowOff>542925</xdr:rowOff>
    </xdr:to>
    <xdr:pic>
      <xdr:nvPicPr>
        <xdr:cNvPr id="64990" name="Imagem 2" descr="Imagem relacionada">
          <a:extLst>
            <a:ext uri="{FF2B5EF4-FFF2-40B4-BE49-F238E27FC236}">
              <a16:creationId xmlns:a16="http://schemas.microsoft.com/office/drawing/2014/main" id="{00000000-0008-0000-0A00-0000DE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01288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85</xdr:row>
      <xdr:rowOff>76200</xdr:rowOff>
    </xdr:from>
    <xdr:to>
      <xdr:col>1</xdr:col>
      <xdr:colOff>1200150</xdr:colOff>
      <xdr:row>85</xdr:row>
      <xdr:rowOff>590550</xdr:rowOff>
    </xdr:to>
    <xdr:pic>
      <xdr:nvPicPr>
        <xdr:cNvPr id="64991" name="Imagem 1" descr="Resultado de imagem para pare">
          <a:extLst>
            <a:ext uri="{FF2B5EF4-FFF2-40B4-BE49-F238E27FC236}">
              <a16:creationId xmlns:a16="http://schemas.microsoft.com/office/drawing/2014/main" id="{00000000-0008-0000-0A00-0000DF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13670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86</xdr:row>
      <xdr:rowOff>95250</xdr:rowOff>
    </xdr:from>
    <xdr:to>
      <xdr:col>1</xdr:col>
      <xdr:colOff>1304925</xdr:colOff>
      <xdr:row>86</xdr:row>
      <xdr:rowOff>542925</xdr:rowOff>
    </xdr:to>
    <xdr:pic>
      <xdr:nvPicPr>
        <xdr:cNvPr id="64992" name="Imagem 2" descr="Imagem relacionada">
          <a:extLst>
            <a:ext uri="{FF2B5EF4-FFF2-40B4-BE49-F238E27FC236}">
              <a16:creationId xmlns:a16="http://schemas.microsoft.com/office/drawing/2014/main" id="{00000000-0008-0000-0A00-0000E0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21671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89</xdr:row>
      <xdr:rowOff>76200</xdr:rowOff>
    </xdr:from>
    <xdr:to>
      <xdr:col>1</xdr:col>
      <xdr:colOff>1200150</xdr:colOff>
      <xdr:row>89</xdr:row>
      <xdr:rowOff>590550</xdr:rowOff>
    </xdr:to>
    <xdr:pic>
      <xdr:nvPicPr>
        <xdr:cNvPr id="64993" name="Imagem 1" descr="Resultado de imagem para pare">
          <a:extLst>
            <a:ext uri="{FF2B5EF4-FFF2-40B4-BE49-F238E27FC236}">
              <a16:creationId xmlns:a16="http://schemas.microsoft.com/office/drawing/2014/main" id="{00000000-0008-0000-0A00-0000E1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34054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90</xdr:row>
      <xdr:rowOff>95250</xdr:rowOff>
    </xdr:from>
    <xdr:to>
      <xdr:col>1</xdr:col>
      <xdr:colOff>1304925</xdr:colOff>
      <xdr:row>90</xdr:row>
      <xdr:rowOff>542925</xdr:rowOff>
    </xdr:to>
    <xdr:pic>
      <xdr:nvPicPr>
        <xdr:cNvPr id="64994" name="Imagem 2" descr="Imagem relacionada">
          <a:extLst>
            <a:ext uri="{FF2B5EF4-FFF2-40B4-BE49-F238E27FC236}">
              <a16:creationId xmlns:a16="http://schemas.microsoft.com/office/drawing/2014/main" id="{00000000-0008-0000-0A00-0000E2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42055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93</xdr:row>
      <xdr:rowOff>76200</xdr:rowOff>
    </xdr:from>
    <xdr:to>
      <xdr:col>1</xdr:col>
      <xdr:colOff>1200150</xdr:colOff>
      <xdr:row>93</xdr:row>
      <xdr:rowOff>590550</xdr:rowOff>
    </xdr:to>
    <xdr:pic>
      <xdr:nvPicPr>
        <xdr:cNvPr id="64995" name="Imagem 1" descr="Resultado de imagem para pare">
          <a:extLst>
            <a:ext uri="{FF2B5EF4-FFF2-40B4-BE49-F238E27FC236}">
              <a16:creationId xmlns:a16="http://schemas.microsoft.com/office/drawing/2014/main" id="{00000000-0008-0000-0A00-0000E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54437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94</xdr:row>
      <xdr:rowOff>95250</xdr:rowOff>
    </xdr:from>
    <xdr:to>
      <xdr:col>1</xdr:col>
      <xdr:colOff>1304925</xdr:colOff>
      <xdr:row>94</xdr:row>
      <xdr:rowOff>542925</xdr:rowOff>
    </xdr:to>
    <xdr:pic>
      <xdr:nvPicPr>
        <xdr:cNvPr id="64996" name="Imagem 2" descr="Imagem relacionada">
          <a:extLst>
            <a:ext uri="{FF2B5EF4-FFF2-40B4-BE49-F238E27FC236}">
              <a16:creationId xmlns:a16="http://schemas.microsoft.com/office/drawing/2014/main" id="{00000000-0008-0000-0A00-0000E4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62438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97</xdr:row>
      <xdr:rowOff>76200</xdr:rowOff>
    </xdr:from>
    <xdr:to>
      <xdr:col>1</xdr:col>
      <xdr:colOff>1200150</xdr:colOff>
      <xdr:row>97</xdr:row>
      <xdr:rowOff>590550</xdr:rowOff>
    </xdr:to>
    <xdr:pic>
      <xdr:nvPicPr>
        <xdr:cNvPr id="64997" name="Imagem 1" descr="Resultado de imagem para pare">
          <a:extLst>
            <a:ext uri="{FF2B5EF4-FFF2-40B4-BE49-F238E27FC236}">
              <a16:creationId xmlns:a16="http://schemas.microsoft.com/office/drawing/2014/main" id="{00000000-0008-0000-0A00-0000E5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74821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98</xdr:row>
      <xdr:rowOff>95250</xdr:rowOff>
    </xdr:from>
    <xdr:to>
      <xdr:col>1</xdr:col>
      <xdr:colOff>1304925</xdr:colOff>
      <xdr:row>98</xdr:row>
      <xdr:rowOff>542925</xdr:rowOff>
    </xdr:to>
    <xdr:pic>
      <xdr:nvPicPr>
        <xdr:cNvPr id="64998" name="Imagem 2" descr="Imagem relacionada">
          <a:extLst>
            <a:ext uri="{FF2B5EF4-FFF2-40B4-BE49-F238E27FC236}">
              <a16:creationId xmlns:a16="http://schemas.microsoft.com/office/drawing/2014/main" id="{00000000-0008-0000-0A00-0000E6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82822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101</xdr:row>
      <xdr:rowOff>76200</xdr:rowOff>
    </xdr:from>
    <xdr:to>
      <xdr:col>1</xdr:col>
      <xdr:colOff>1200150</xdr:colOff>
      <xdr:row>101</xdr:row>
      <xdr:rowOff>590550</xdr:rowOff>
    </xdr:to>
    <xdr:pic>
      <xdr:nvPicPr>
        <xdr:cNvPr id="64999" name="Imagem 1" descr="Resultado de imagem para pare">
          <a:extLst>
            <a:ext uri="{FF2B5EF4-FFF2-40B4-BE49-F238E27FC236}">
              <a16:creationId xmlns:a16="http://schemas.microsoft.com/office/drawing/2014/main" id="{00000000-0008-0000-0A00-0000E7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95204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102</xdr:row>
      <xdr:rowOff>95250</xdr:rowOff>
    </xdr:from>
    <xdr:to>
      <xdr:col>1</xdr:col>
      <xdr:colOff>1304925</xdr:colOff>
      <xdr:row>102</xdr:row>
      <xdr:rowOff>542925</xdr:rowOff>
    </xdr:to>
    <xdr:pic>
      <xdr:nvPicPr>
        <xdr:cNvPr id="65000" name="Imagem 2" descr="Imagem relacionada">
          <a:extLst>
            <a:ext uri="{FF2B5EF4-FFF2-40B4-BE49-F238E27FC236}">
              <a16:creationId xmlns:a16="http://schemas.microsoft.com/office/drawing/2014/main" id="{00000000-0008-0000-0A00-0000E8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03205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105</xdr:row>
      <xdr:rowOff>76200</xdr:rowOff>
    </xdr:from>
    <xdr:to>
      <xdr:col>1</xdr:col>
      <xdr:colOff>1200150</xdr:colOff>
      <xdr:row>105</xdr:row>
      <xdr:rowOff>590550</xdr:rowOff>
    </xdr:to>
    <xdr:pic>
      <xdr:nvPicPr>
        <xdr:cNvPr id="65001" name="Imagem 1" descr="Resultado de imagem para pare">
          <a:extLst>
            <a:ext uri="{FF2B5EF4-FFF2-40B4-BE49-F238E27FC236}">
              <a16:creationId xmlns:a16="http://schemas.microsoft.com/office/drawing/2014/main" id="{00000000-0008-0000-0A00-0000E9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15588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106</xdr:row>
      <xdr:rowOff>95250</xdr:rowOff>
    </xdr:from>
    <xdr:to>
      <xdr:col>1</xdr:col>
      <xdr:colOff>1304925</xdr:colOff>
      <xdr:row>106</xdr:row>
      <xdr:rowOff>542925</xdr:rowOff>
    </xdr:to>
    <xdr:pic>
      <xdr:nvPicPr>
        <xdr:cNvPr id="65002" name="Imagem 2" descr="Imagem relacionada">
          <a:extLst>
            <a:ext uri="{FF2B5EF4-FFF2-40B4-BE49-F238E27FC236}">
              <a16:creationId xmlns:a16="http://schemas.microsoft.com/office/drawing/2014/main" id="{00000000-0008-0000-0A00-0000EA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23589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109</xdr:row>
      <xdr:rowOff>76200</xdr:rowOff>
    </xdr:from>
    <xdr:to>
      <xdr:col>1</xdr:col>
      <xdr:colOff>1200150</xdr:colOff>
      <xdr:row>109</xdr:row>
      <xdr:rowOff>590550</xdr:rowOff>
    </xdr:to>
    <xdr:pic>
      <xdr:nvPicPr>
        <xdr:cNvPr id="65003" name="Imagem 1" descr="Resultado de imagem para pare">
          <a:extLst>
            <a:ext uri="{FF2B5EF4-FFF2-40B4-BE49-F238E27FC236}">
              <a16:creationId xmlns:a16="http://schemas.microsoft.com/office/drawing/2014/main" id="{00000000-0008-0000-0A00-0000EB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35971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110</xdr:row>
      <xdr:rowOff>95250</xdr:rowOff>
    </xdr:from>
    <xdr:to>
      <xdr:col>1</xdr:col>
      <xdr:colOff>1304925</xdr:colOff>
      <xdr:row>110</xdr:row>
      <xdr:rowOff>542925</xdr:rowOff>
    </xdr:to>
    <xdr:pic>
      <xdr:nvPicPr>
        <xdr:cNvPr id="65004" name="Imagem 2" descr="Imagem relacionada">
          <a:extLst>
            <a:ext uri="{FF2B5EF4-FFF2-40B4-BE49-F238E27FC236}">
              <a16:creationId xmlns:a16="http://schemas.microsoft.com/office/drawing/2014/main" id="{00000000-0008-0000-0A00-0000EC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43972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113</xdr:row>
      <xdr:rowOff>76200</xdr:rowOff>
    </xdr:from>
    <xdr:to>
      <xdr:col>1</xdr:col>
      <xdr:colOff>1200150</xdr:colOff>
      <xdr:row>113</xdr:row>
      <xdr:rowOff>590550</xdr:rowOff>
    </xdr:to>
    <xdr:pic>
      <xdr:nvPicPr>
        <xdr:cNvPr id="65005" name="Imagem 1" descr="Resultado de imagem para pare">
          <a:extLst>
            <a:ext uri="{FF2B5EF4-FFF2-40B4-BE49-F238E27FC236}">
              <a16:creationId xmlns:a16="http://schemas.microsoft.com/office/drawing/2014/main" id="{00000000-0008-0000-0A00-0000ED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56355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114</xdr:row>
      <xdr:rowOff>95250</xdr:rowOff>
    </xdr:from>
    <xdr:to>
      <xdr:col>1</xdr:col>
      <xdr:colOff>1304925</xdr:colOff>
      <xdr:row>114</xdr:row>
      <xdr:rowOff>542925</xdr:rowOff>
    </xdr:to>
    <xdr:pic>
      <xdr:nvPicPr>
        <xdr:cNvPr id="65006" name="Imagem 2" descr="Imagem relacionada">
          <a:extLst>
            <a:ext uri="{FF2B5EF4-FFF2-40B4-BE49-F238E27FC236}">
              <a16:creationId xmlns:a16="http://schemas.microsoft.com/office/drawing/2014/main" id="{00000000-0008-0000-0A00-0000EE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64356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117</xdr:row>
      <xdr:rowOff>76200</xdr:rowOff>
    </xdr:from>
    <xdr:to>
      <xdr:col>1</xdr:col>
      <xdr:colOff>1200150</xdr:colOff>
      <xdr:row>117</xdr:row>
      <xdr:rowOff>590550</xdr:rowOff>
    </xdr:to>
    <xdr:pic>
      <xdr:nvPicPr>
        <xdr:cNvPr id="65007" name="Imagem 1" descr="Resultado de imagem para pare">
          <a:extLst>
            <a:ext uri="{FF2B5EF4-FFF2-40B4-BE49-F238E27FC236}">
              <a16:creationId xmlns:a16="http://schemas.microsoft.com/office/drawing/2014/main" id="{00000000-0008-0000-0A00-0000EF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6738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118</xdr:row>
      <xdr:rowOff>95250</xdr:rowOff>
    </xdr:from>
    <xdr:to>
      <xdr:col>1</xdr:col>
      <xdr:colOff>1304925</xdr:colOff>
      <xdr:row>118</xdr:row>
      <xdr:rowOff>542925</xdr:rowOff>
    </xdr:to>
    <xdr:pic>
      <xdr:nvPicPr>
        <xdr:cNvPr id="65008" name="Imagem 2" descr="Imagem relacionada">
          <a:extLst>
            <a:ext uri="{FF2B5EF4-FFF2-40B4-BE49-F238E27FC236}">
              <a16:creationId xmlns:a16="http://schemas.microsoft.com/office/drawing/2014/main" id="{00000000-0008-0000-0A00-0000F0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4739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121</xdr:row>
      <xdr:rowOff>76200</xdr:rowOff>
    </xdr:from>
    <xdr:to>
      <xdr:col>1</xdr:col>
      <xdr:colOff>1200150</xdr:colOff>
      <xdr:row>121</xdr:row>
      <xdr:rowOff>590550</xdr:rowOff>
    </xdr:to>
    <xdr:pic>
      <xdr:nvPicPr>
        <xdr:cNvPr id="65009" name="Imagem 1" descr="Resultado de imagem para pare">
          <a:extLst>
            <a:ext uri="{FF2B5EF4-FFF2-40B4-BE49-F238E27FC236}">
              <a16:creationId xmlns:a16="http://schemas.microsoft.com/office/drawing/2014/main" id="{00000000-0008-0000-0A00-0000F1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97122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122</xdr:row>
      <xdr:rowOff>95250</xdr:rowOff>
    </xdr:from>
    <xdr:to>
      <xdr:col>1</xdr:col>
      <xdr:colOff>1304925</xdr:colOff>
      <xdr:row>122</xdr:row>
      <xdr:rowOff>542925</xdr:rowOff>
    </xdr:to>
    <xdr:pic>
      <xdr:nvPicPr>
        <xdr:cNvPr id="65010" name="Imagem 2" descr="Imagem relacionada">
          <a:extLst>
            <a:ext uri="{FF2B5EF4-FFF2-40B4-BE49-F238E27FC236}">
              <a16:creationId xmlns:a16="http://schemas.microsoft.com/office/drawing/2014/main" id="{00000000-0008-0000-0A00-0000F2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05123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125</xdr:row>
      <xdr:rowOff>76200</xdr:rowOff>
    </xdr:from>
    <xdr:to>
      <xdr:col>1</xdr:col>
      <xdr:colOff>1200150</xdr:colOff>
      <xdr:row>125</xdr:row>
      <xdr:rowOff>590550</xdr:rowOff>
    </xdr:to>
    <xdr:pic>
      <xdr:nvPicPr>
        <xdr:cNvPr id="65011" name="Imagem 1" descr="Resultado de imagem para pare">
          <a:extLst>
            <a:ext uri="{FF2B5EF4-FFF2-40B4-BE49-F238E27FC236}">
              <a16:creationId xmlns:a16="http://schemas.microsoft.com/office/drawing/2014/main" id="{00000000-0008-0000-0A00-0000F3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17505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126</xdr:row>
      <xdr:rowOff>95250</xdr:rowOff>
    </xdr:from>
    <xdr:to>
      <xdr:col>1</xdr:col>
      <xdr:colOff>1304925</xdr:colOff>
      <xdr:row>126</xdr:row>
      <xdr:rowOff>542925</xdr:rowOff>
    </xdr:to>
    <xdr:pic>
      <xdr:nvPicPr>
        <xdr:cNvPr id="65012" name="Imagem 2" descr="Imagem relacionada">
          <a:extLst>
            <a:ext uri="{FF2B5EF4-FFF2-40B4-BE49-F238E27FC236}">
              <a16:creationId xmlns:a16="http://schemas.microsoft.com/office/drawing/2014/main" id="{00000000-0008-0000-0A00-0000F4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25506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129</xdr:row>
      <xdr:rowOff>76200</xdr:rowOff>
    </xdr:from>
    <xdr:to>
      <xdr:col>1</xdr:col>
      <xdr:colOff>1200150</xdr:colOff>
      <xdr:row>129</xdr:row>
      <xdr:rowOff>590550</xdr:rowOff>
    </xdr:to>
    <xdr:pic>
      <xdr:nvPicPr>
        <xdr:cNvPr id="65013" name="Imagem 1" descr="Resultado de imagem para pare">
          <a:extLst>
            <a:ext uri="{FF2B5EF4-FFF2-40B4-BE49-F238E27FC236}">
              <a16:creationId xmlns:a16="http://schemas.microsoft.com/office/drawing/2014/main" id="{00000000-0008-0000-0A00-0000F5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37889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130</xdr:row>
      <xdr:rowOff>95250</xdr:rowOff>
    </xdr:from>
    <xdr:to>
      <xdr:col>1</xdr:col>
      <xdr:colOff>1304925</xdr:colOff>
      <xdr:row>130</xdr:row>
      <xdr:rowOff>542925</xdr:rowOff>
    </xdr:to>
    <xdr:pic>
      <xdr:nvPicPr>
        <xdr:cNvPr id="65014" name="Imagem 2" descr="Imagem relacionada">
          <a:extLst>
            <a:ext uri="{FF2B5EF4-FFF2-40B4-BE49-F238E27FC236}">
              <a16:creationId xmlns:a16="http://schemas.microsoft.com/office/drawing/2014/main" id="{00000000-0008-0000-0A00-0000F6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45890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133</xdr:row>
      <xdr:rowOff>76200</xdr:rowOff>
    </xdr:from>
    <xdr:to>
      <xdr:col>1</xdr:col>
      <xdr:colOff>1200150</xdr:colOff>
      <xdr:row>133</xdr:row>
      <xdr:rowOff>590550</xdr:rowOff>
    </xdr:to>
    <xdr:pic>
      <xdr:nvPicPr>
        <xdr:cNvPr id="65015" name="Imagem 1" descr="Resultado de imagem para pare">
          <a:extLst>
            <a:ext uri="{FF2B5EF4-FFF2-40B4-BE49-F238E27FC236}">
              <a16:creationId xmlns:a16="http://schemas.microsoft.com/office/drawing/2014/main" id="{00000000-0008-0000-0A00-0000F7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58272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134</xdr:row>
      <xdr:rowOff>95250</xdr:rowOff>
    </xdr:from>
    <xdr:to>
      <xdr:col>1</xdr:col>
      <xdr:colOff>1304925</xdr:colOff>
      <xdr:row>134</xdr:row>
      <xdr:rowOff>542925</xdr:rowOff>
    </xdr:to>
    <xdr:pic>
      <xdr:nvPicPr>
        <xdr:cNvPr id="65016" name="Imagem 2" descr="Imagem relacionada">
          <a:extLst>
            <a:ext uri="{FF2B5EF4-FFF2-40B4-BE49-F238E27FC236}">
              <a16:creationId xmlns:a16="http://schemas.microsoft.com/office/drawing/2014/main" id="{00000000-0008-0000-0A00-0000F8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66273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137</xdr:row>
      <xdr:rowOff>76200</xdr:rowOff>
    </xdr:from>
    <xdr:to>
      <xdr:col>1</xdr:col>
      <xdr:colOff>1200150</xdr:colOff>
      <xdr:row>137</xdr:row>
      <xdr:rowOff>590550</xdr:rowOff>
    </xdr:to>
    <xdr:pic>
      <xdr:nvPicPr>
        <xdr:cNvPr id="65017" name="Imagem 1" descr="Resultado de imagem para pare">
          <a:extLst>
            <a:ext uri="{FF2B5EF4-FFF2-40B4-BE49-F238E27FC236}">
              <a16:creationId xmlns:a16="http://schemas.microsoft.com/office/drawing/2014/main" id="{00000000-0008-0000-0A00-0000F9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78656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138</xdr:row>
      <xdr:rowOff>95250</xdr:rowOff>
    </xdr:from>
    <xdr:to>
      <xdr:col>1</xdr:col>
      <xdr:colOff>1304925</xdr:colOff>
      <xdr:row>138</xdr:row>
      <xdr:rowOff>542925</xdr:rowOff>
    </xdr:to>
    <xdr:pic>
      <xdr:nvPicPr>
        <xdr:cNvPr id="65018" name="Imagem 2" descr="Imagem relacionada">
          <a:extLst>
            <a:ext uri="{FF2B5EF4-FFF2-40B4-BE49-F238E27FC236}">
              <a16:creationId xmlns:a16="http://schemas.microsoft.com/office/drawing/2014/main" id="{00000000-0008-0000-0A00-0000FA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866572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141</xdr:row>
      <xdr:rowOff>76200</xdr:rowOff>
    </xdr:from>
    <xdr:to>
      <xdr:col>1</xdr:col>
      <xdr:colOff>1200150</xdr:colOff>
      <xdr:row>141</xdr:row>
      <xdr:rowOff>590550</xdr:rowOff>
    </xdr:to>
    <xdr:pic>
      <xdr:nvPicPr>
        <xdr:cNvPr id="65019" name="Imagem 1" descr="Resultado de imagem para pare">
          <a:extLst>
            <a:ext uri="{FF2B5EF4-FFF2-40B4-BE49-F238E27FC236}">
              <a16:creationId xmlns:a16="http://schemas.microsoft.com/office/drawing/2014/main" id="{00000000-0008-0000-0A00-0000FB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990397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142</xdr:row>
      <xdr:rowOff>95250</xdr:rowOff>
    </xdr:from>
    <xdr:to>
      <xdr:col>1</xdr:col>
      <xdr:colOff>1304925</xdr:colOff>
      <xdr:row>142</xdr:row>
      <xdr:rowOff>542925</xdr:rowOff>
    </xdr:to>
    <xdr:pic>
      <xdr:nvPicPr>
        <xdr:cNvPr id="65020" name="Imagem 2" descr="Imagem relacionada">
          <a:extLst>
            <a:ext uri="{FF2B5EF4-FFF2-40B4-BE49-F238E27FC236}">
              <a16:creationId xmlns:a16="http://schemas.microsoft.com/office/drawing/2014/main" id="{00000000-0008-0000-0A00-0000FCF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7070407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tos%20Convexa\V&#193;RZEA%20GRANDE%20-%20EVVIA\PROJETOS%20EM%20ANDAMENTO\1%20-%20Bairro%20Maria%20Isabel\DRENAGEM\DN%20RESUMO%20QUANTIDADES%20DRENAG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QUANT"/>
      <sheetName val="TERRAP E PAVIM"/>
      <sheetName val="ORÇAMENTO"/>
      <sheetName val="TRANSP"/>
      <sheetName val="CFF"/>
      <sheetName val="MEMORIAL DE CALCULO"/>
      <sheetName val="BLS"/>
      <sheetName val="BLD"/>
      <sheetName val="BLT "/>
      <sheetName val="BDI"/>
      <sheetName val="BDI DIFERENCIADO"/>
      <sheetName val="DRENO"/>
      <sheetName val="SN HOR"/>
      <sheetName val="SN VERT"/>
      <sheetName val="NS DRENAGEM"/>
      <sheetName val="MEMORIAL DE CALCULO (2)"/>
    </sheetNames>
    <sheetDataSet>
      <sheetData sheetId="0"/>
      <sheetData sheetId="1">
        <row r="4">
          <cell r="A4" t="str">
            <v>OBRA: PAVIMENTAÇÃO DE VIAS URBANAS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F53"/>
  <sheetViews>
    <sheetView zoomScale="85" zoomScaleNormal="85" workbookViewId="0">
      <selection activeCell="D7" sqref="D7"/>
    </sheetView>
  </sheetViews>
  <sheetFormatPr defaultColWidth="9.140625" defaultRowHeight="12.75"/>
  <cols>
    <col min="1" max="1" width="9.140625" style="87"/>
    <col min="2" max="2" width="16.7109375" style="87" customWidth="1"/>
    <col min="3" max="3" width="52.5703125" style="87" customWidth="1"/>
    <col min="4" max="4" width="36.42578125" style="87" customWidth="1"/>
    <col min="5" max="7" width="9.140625" style="87"/>
    <col min="8" max="8" width="17.7109375" style="87" bestFit="1" customWidth="1"/>
    <col min="9" max="16384" width="9.140625" style="87"/>
  </cols>
  <sheetData>
    <row r="1" spans="2:4" ht="13.5" thickBot="1">
      <c r="B1" s="186"/>
      <c r="C1" s="186"/>
      <c r="D1" s="186"/>
    </row>
    <row r="2" spans="2:4" ht="30" customHeight="1">
      <c r="B2" s="567" t="s">
        <v>76</v>
      </c>
      <c r="C2" s="568"/>
      <c r="D2" s="569"/>
    </row>
    <row r="3" spans="2:4" ht="12.75" customHeight="1">
      <c r="B3" s="570" t="s">
        <v>33</v>
      </c>
      <c r="C3" s="571"/>
      <c r="D3" s="572"/>
    </row>
    <row r="4" spans="2:4" ht="20.25" customHeight="1">
      <c r="B4" s="570"/>
      <c r="C4" s="571"/>
      <c r="D4" s="572"/>
    </row>
    <row r="5" spans="2:4" ht="12.75" customHeight="1">
      <c r="B5" s="574" t="s">
        <v>343</v>
      </c>
      <c r="C5" s="573" t="s">
        <v>347</v>
      </c>
      <c r="D5" s="202" t="s">
        <v>822</v>
      </c>
    </row>
    <row r="6" spans="2:4" ht="14.25" customHeight="1">
      <c r="B6" s="575"/>
      <c r="C6" s="573"/>
      <c r="D6" s="203" t="s">
        <v>823</v>
      </c>
    </row>
    <row r="7" spans="2:4" ht="12.75" customHeight="1">
      <c r="B7" s="576"/>
      <c r="C7" s="573"/>
      <c r="D7" s="204" t="s">
        <v>248</v>
      </c>
    </row>
    <row r="8" spans="2:4" ht="27" customHeight="1">
      <c r="B8" s="187" t="s">
        <v>17</v>
      </c>
      <c r="C8" s="188" t="s">
        <v>0</v>
      </c>
      <c r="D8" s="189" t="s">
        <v>34</v>
      </c>
    </row>
    <row r="9" spans="2:4" ht="12.75" customHeight="1">
      <c r="B9" s="558" t="str">
        <f>'ORÇA '!A8</f>
        <v>1.0</v>
      </c>
      <c r="C9" s="564" t="str">
        <f>'ORÇA '!D8</f>
        <v>SERVIÇOS PRELIMINARES</v>
      </c>
      <c r="D9" s="537">
        <f>'ORÇA '!J12</f>
        <v>45940.32</v>
      </c>
    </row>
    <row r="10" spans="2:4" ht="14.25" customHeight="1">
      <c r="B10" s="559"/>
      <c r="C10" s="565"/>
      <c r="D10" s="538"/>
    </row>
    <row r="11" spans="2:4">
      <c r="B11" s="560"/>
      <c r="C11" s="566"/>
      <c r="D11" s="539"/>
    </row>
    <row r="12" spans="2:4" ht="12.75" customHeight="1">
      <c r="B12" s="558" t="str">
        <f>'ORÇA '!A14</f>
        <v>2.0</v>
      </c>
      <c r="C12" s="579" t="str">
        <f>'ORÇA '!D14</f>
        <v>ADMINISTRAÇÃO LOCAL</v>
      </c>
      <c r="D12" s="537">
        <f>'ORÇA '!J15</f>
        <v>365280.03</v>
      </c>
    </row>
    <row r="13" spans="2:4" ht="12.75" customHeight="1">
      <c r="B13" s="559"/>
      <c r="C13" s="565"/>
      <c r="D13" s="538"/>
    </row>
    <row r="14" spans="2:4" ht="12.75" customHeight="1">
      <c r="B14" s="560"/>
      <c r="C14" s="565"/>
      <c r="D14" s="539"/>
    </row>
    <row r="15" spans="2:4" ht="12.75" customHeight="1">
      <c r="B15" s="558" t="str">
        <f>'ORÇA '!A17</f>
        <v>3.0</v>
      </c>
      <c r="C15" s="579" t="str">
        <f>'ORÇA '!D17</f>
        <v>ENSAIOS TECNOLÓGICOS DE SOLO E ASFALTO</v>
      </c>
      <c r="D15" s="537">
        <f>'ORÇA '!J21</f>
        <v>96358.84</v>
      </c>
    </row>
    <row r="16" spans="2:4" ht="12.75" customHeight="1">
      <c r="B16" s="559"/>
      <c r="C16" s="565"/>
      <c r="D16" s="538"/>
    </row>
    <row r="17" spans="2:4" ht="12.75" customHeight="1">
      <c r="B17" s="560"/>
      <c r="C17" s="566"/>
      <c r="D17" s="539"/>
    </row>
    <row r="18" spans="2:4" ht="12.75" customHeight="1">
      <c r="B18" s="558" t="str">
        <f>'ORÇA '!A23</f>
        <v>4.0</v>
      </c>
      <c r="C18" s="564" t="str">
        <f>'ORÇA '!D23</f>
        <v>TERRAPLENAGEM</v>
      </c>
      <c r="D18" s="537">
        <f>'ORÇA '!J30</f>
        <v>1115284.5000000002</v>
      </c>
    </row>
    <row r="19" spans="2:4">
      <c r="B19" s="559"/>
      <c r="C19" s="565"/>
      <c r="D19" s="538"/>
    </row>
    <row r="20" spans="2:4">
      <c r="B20" s="560"/>
      <c r="C20" s="566"/>
      <c r="D20" s="539"/>
    </row>
    <row r="21" spans="2:4" ht="12.75" customHeight="1">
      <c r="B21" s="558" t="str">
        <f>'ORÇA '!A32</f>
        <v>5.0</v>
      </c>
      <c r="C21" s="564" t="str">
        <f>'ORÇA '!D32</f>
        <v>PAVIMENTAÇÃO</v>
      </c>
      <c r="D21" s="537">
        <f>'ORÇA '!J43</f>
        <v>3229134.6900000004</v>
      </c>
    </row>
    <row r="22" spans="2:4">
      <c r="B22" s="559"/>
      <c r="C22" s="577"/>
      <c r="D22" s="538"/>
    </row>
    <row r="23" spans="2:4" ht="12.75" customHeight="1">
      <c r="B23" s="560"/>
      <c r="C23" s="578"/>
      <c r="D23" s="539"/>
    </row>
    <row r="24" spans="2:4" ht="12.75" customHeight="1">
      <c r="B24" s="558" t="str">
        <f>'ORÇA '!A45</f>
        <v>6.0</v>
      </c>
      <c r="C24" s="564" t="str">
        <f>'ORÇA '!D45</f>
        <v>SINALIZAÇÃO HORIZONTAL/VERTICAL</v>
      </c>
      <c r="D24" s="537">
        <f>'ORÇA '!J49</f>
        <v>45379.409999999996</v>
      </c>
    </row>
    <row r="25" spans="2:4">
      <c r="B25" s="559"/>
      <c r="C25" s="577"/>
      <c r="D25" s="538"/>
    </row>
    <row r="26" spans="2:4" ht="12.75" customHeight="1">
      <c r="B26" s="560"/>
      <c r="C26" s="578"/>
      <c r="D26" s="539"/>
    </row>
    <row r="27" spans="2:4" ht="12.75" customHeight="1">
      <c r="B27" s="558" t="str">
        <f>'ORÇA '!A51</f>
        <v>7.0</v>
      </c>
      <c r="C27" s="184"/>
      <c r="D27" s="537">
        <f>'ORÇA '!J54</f>
        <v>577105.96</v>
      </c>
    </row>
    <row r="28" spans="2:4" ht="12.75" customHeight="1">
      <c r="B28" s="559"/>
      <c r="C28" s="184" t="str">
        <f>'ORÇA '!D51</f>
        <v>OBRAS COMPLEMENTARES</v>
      </c>
      <c r="D28" s="538"/>
    </row>
    <row r="29" spans="2:4" ht="12.75" customHeight="1">
      <c r="B29" s="560"/>
      <c r="C29" s="184"/>
      <c r="D29" s="539"/>
    </row>
    <row r="30" spans="2:4" ht="12.75" customHeight="1">
      <c r="B30" s="558" t="str">
        <f>'ORÇA '!A56</f>
        <v>8.0</v>
      </c>
      <c r="C30" s="564" t="str">
        <f>'ORÇA '!D56</f>
        <v>DRENAGEM</v>
      </c>
      <c r="D30" s="537">
        <f>'ORÇA '!J69</f>
        <v>261910.65000000002</v>
      </c>
    </row>
    <row r="31" spans="2:4" ht="12.75" customHeight="1">
      <c r="B31" s="559"/>
      <c r="C31" s="565"/>
      <c r="D31" s="538"/>
    </row>
    <row r="32" spans="2:4" ht="12.75" customHeight="1">
      <c r="B32" s="560"/>
      <c r="C32" s="566"/>
      <c r="D32" s="539"/>
    </row>
    <row r="33" spans="2:4" ht="12.75" customHeight="1">
      <c r="B33" s="558" t="str">
        <f>'ORÇA '!A71</f>
        <v>9.0</v>
      </c>
      <c r="C33" s="561" t="str">
        <f>'ORÇA '!D71</f>
        <v>FORNECIMENTO DE TUBOS TIPO PA-1</v>
      </c>
      <c r="D33" s="537">
        <f>'ORÇA '!J74</f>
        <v>389299.29</v>
      </c>
    </row>
    <row r="34" spans="2:4" ht="12.75" customHeight="1">
      <c r="B34" s="559"/>
      <c r="C34" s="562"/>
      <c r="D34" s="538"/>
    </row>
    <row r="35" spans="2:4" ht="12.75" customHeight="1">
      <c r="B35" s="560"/>
      <c r="C35" s="563"/>
      <c r="D35" s="539"/>
    </row>
    <row r="36" spans="2:4" ht="12.75" customHeight="1">
      <c r="B36" s="558" t="str">
        <f>'ORÇA '!A76</f>
        <v>10.0</v>
      </c>
      <c r="C36" s="561" t="str">
        <f>'ORÇA '!D76</f>
        <v xml:space="preserve">ASSENTAMENTO E REJUNTAMENTO DE TUBO DE CONCRETO </v>
      </c>
      <c r="D36" s="537">
        <f>'ORÇA '!J79</f>
        <v>143322.67000000001</v>
      </c>
    </row>
    <row r="37" spans="2:4" ht="12.75" customHeight="1">
      <c r="B37" s="559"/>
      <c r="C37" s="562"/>
      <c r="D37" s="538"/>
    </row>
    <row r="38" spans="2:4" ht="12.75" customHeight="1">
      <c r="B38" s="560"/>
      <c r="C38" s="563"/>
      <c r="D38" s="539"/>
    </row>
    <row r="39" spans="2:4" ht="12.75" customHeight="1">
      <c r="B39" s="558" t="str">
        <f>'ORÇA '!A81</f>
        <v>11.0</v>
      </c>
      <c r="C39" s="564" t="str">
        <f>'ORÇA '!D81</f>
        <v>ÓRGÃOS ACESSÓRIOS</v>
      </c>
      <c r="D39" s="537">
        <f>'ORÇA '!J97</f>
        <v>182531.28</v>
      </c>
    </row>
    <row r="40" spans="2:4" ht="12.75" customHeight="1">
      <c r="B40" s="559"/>
      <c r="C40" s="565"/>
      <c r="D40" s="538"/>
    </row>
    <row r="41" spans="2:4" ht="12.75" customHeight="1">
      <c r="B41" s="560"/>
      <c r="C41" s="566"/>
      <c r="D41" s="539"/>
    </row>
    <row r="42" spans="2:4">
      <c r="B42" s="542" t="s">
        <v>36</v>
      </c>
      <c r="C42" s="543"/>
      <c r="D42" s="190"/>
    </row>
    <row r="43" spans="2:4" ht="15.75">
      <c r="B43" s="544"/>
      <c r="C43" s="545"/>
      <c r="D43" s="191">
        <f>SUM(D9:D41)</f>
        <v>6451547.6400000015</v>
      </c>
    </row>
    <row r="44" spans="2:4" ht="15" customHeight="1">
      <c r="B44" s="546"/>
      <c r="C44" s="547"/>
      <c r="D44" s="192"/>
    </row>
    <row r="45" spans="2:4" ht="15" customHeight="1">
      <c r="B45" s="548" t="s">
        <v>46</v>
      </c>
      <c r="C45" s="549"/>
      <c r="D45" s="193">
        <f>'TERRAP E PAVIM'!I57</f>
        <v>33958.903999999995</v>
      </c>
    </row>
    <row r="46" spans="2:4">
      <c r="B46" s="548" t="s">
        <v>75</v>
      </c>
      <c r="C46" s="549"/>
      <c r="D46" s="194">
        <f>D43/D45</f>
        <v>189.98103236782913</v>
      </c>
    </row>
    <row r="47" spans="2:4" ht="16.5" customHeight="1">
      <c r="B47" s="200" t="s">
        <v>255</v>
      </c>
      <c r="C47" s="185"/>
      <c r="D47" s="195">
        <f>D43/('ORÇA '!I5/1000)</f>
        <v>1329867.2265748042</v>
      </c>
    </row>
    <row r="48" spans="2:4" s="196" customFormat="1" ht="16.5" customHeight="1">
      <c r="B48" s="201" t="s">
        <v>322</v>
      </c>
      <c r="C48" s="550" t="s">
        <v>341</v>
      </c>
      <c r="D48" s="551"/>
    </row>
    <row r="49" spans="2:6" s="196" customFormat="1" ht="21.95" customHeight="1">
      <c r="B49" s="552" t="s">
        <v>231</v>
      </c>
      <c r="C49" s="554" t="s">
        <v>342</v>
      </c>
      <c r="D49" s="555"/>
      <c r="F49" s="197"/>
    </row>
    <row r="50" spans="2:6" s="196" customFormat="1" ht="21.95" customHeight="1">
      <c r="B50" s="553"/>
      <c r="C50" s="556"/>
      <c r="D50" s="557"/>
    </row>
    <row r="51" spans="2:6" s="196" customFormat="1" ht="24" customHeight="1" thickBot="1">
      <c r="B51" s="198" t="s">
        <v>41</v>
      </c>
      <c r="C51" s="540" t="s">
        <v>229</v>
      </c>
      <c r="D51" s="541"/>
    </row>
    <row r="53" spans="2:6" ht="15.75">
      <c r="B53" s="199"/>
    </row>
  </sheetData>
  <mergeCells count="43">
    <mergeCell ref="B12:B14"/>
    <mergeCell ref="C12:C14"/>
    <mergeCell ref="D12:D14"/>
    <mergeCell ref="B15:B17"/>
    <mergeCell ref="C15:C17"/>
    <mergeCell ref="D15:D17"/>
    <mergeCell ref="B18:B20"/>
    <mergeCell ref="B30:B32"/>
    <mergeCell ref="C30:C32"/>
    <mergeCell ref="C18:C20"/>
    <mergeCell ref="B21:B23"/>
    <mergeCell ref="C21:C23"/>
    <mergeCell ref="B24:B26"/>
    <mergeCell ref="B27:B29"/>
    <mergeCell ref="C24:C26"/>
    <mergeCell ref="B2:D2"/>
    <mergeCell ref="B3:D4"/>
    <mergeCell ref="C5:C7"/>
    <mergeCell ref="B5:B7"/>
    <mergeCell ref="B9:B11"/>
    <mergeCell ref="C9:C11"/>
    <mergeCell ref="D9:D11"/>
    <mergeCell ref="B33:B35"/>
    <mergeCell ref="C33:C35"/>
    <mergeCell ref="B36:B38"/>
    <mergeCell ref="C36:C38"/>
    <mergeCell ref="B39:B41"/>
    <mergeCell ref="C39:C41"/>
    <mergeCell ref="C51:D51"/>
    <mergeCell ref="B42:C44"/>
    <mergeCell ref="B45:C45"/>
    <mergeCell ref="B46:C46"/>
    <mergeCell ref="C48:D48"/>
    <mergeCell ref="B49:B50"/>
    <mergeCell ref="C49:D50"/>
    <mergeCell ref="D36:D38"/>
    <mergeCell ref="D39:D41"/>
    <mergeCell ref="D18:D20"/>
    <mergeCell ref="D21:D23"/>
    <mergeCell ref="D24:D26"/>
    <mergeCell ref="D27:D29"/>
    <mergeCell ref="D30:D32"/>
    <mergeCell ref="D33:D3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1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H233"/>
  <sheetViews>
    <sheetView topLeftCell="A199" zoomScaleNormal="100" workbookViewId="0">
      <selection activeCell="N228" sqref="N228"/>
    </sheetView>
  </sheetViews>
  <sheetFormatPr defaultColWidth="9.140625" defaultRowHeight="12.75"/>
  <cols>
    <col min="1" max="1" width="13.7109375" style="44" customWidth="1"/>
    <col min="2" max="2" width="25.85546875" style="44" customWidth="1"/>
    <col min="3" max="3" width="15.140625" style="44" customWidth="1"/>
    <col min="4" max="4" width="10.85546875" style="44" bestFit="1" customWidth="1"/>
    <col min="5" max="5" width="11.42578125" style="44" customWidth="1"/>
    <col min="6" max="6" width="16.140625" style="44" bestFit="1" customWidth="1"/>
    <col min="7" max="7" width="9.85546875" style="44" customWidth="1"/>
    <col min="8" max="16" width="9.140625" style="44"/>
    <col min="17" max="17" width="13.7109375" style="44" customWidth="1"/>
    <col min="18" max="18" width="15.5703125" style="44" customWidth="1"/>
    <col min="19" max="19" width="14.42578125" style="44" bestFit="1" customWidth="1"/>
    <col min="20" max="20" width="10.85546875" style="44" bestFit="1" customWidth="1"/>
    <col min="21" max="21" width="10.42578125" style="44" customWidth="1"/>
    <col min="22" max="22" width="16.140625" style="44" bestFit="1" customWidth="1"/>
    <col min="23" max="23" width="12.7109375" style="44" customWidth="1"/>
    <col min="24" max="16384" width="9.140625" style="44"/>
  </cols>
  <sheetData>
    <row r="1" spans="1:7" ht="15.75" customHeight="1">
      <c r="A1" s="905" t="s">
        <v>473</v>
      </c>
      <c r="B1" s="906"/>
      <c r="C1" s="906"/>
      <c r="D1" s="906"/>
      <c r="E1" s="906"/>
      <c r="F1" s="906"/>
      <c r="G1" s="907"/>
    </row>
    <row r="2" spans="1:7">
      <c r="A2" s="908"/>
      <c r="B2" s="909"/>
      <c r="C2" s="909"/>
      <c r="D2" s="909"/>
      <c r="E2" s="909"/>
      <c r="F2" s="909"/>
      <c r="G2" s="910"/>
    </row>
    <row r="3" spans="1:7">
      <c r="A3" s="919" t="s">
        <v>112</v>
      </c>
      <c r="B3" s="920"/>
      <c r="C3" s="355" t="s">
        <v>113</v>
      </c>
      <c r="D3" s="355" t="s">
        <v>281</v>
      </c>
      <c r="E3" s="356" t="s">
        <v>114</v>
      </c>
      <c r="F3" s="921" t="s">
        <v>115</v>
      </c>
      <c r="G3" s="924"/>
    </row>
    <row r="4" spans="1:7">
      <c r="A4" s="919"/>
      <c r="B4" s="920"/>
      <c r="C4" s="355" t="s">
        <v>116</v>
      </c>
      <c r="D4" s="355" t="s">
        <v>116</v>
      </c>
      <c r="E4" s="355" t="s">
        <v>117</v>
      </c>
      <c r="F4" s="921"/>
      <c r="G4" s="924"/>
    </row>
    <row r="5" spans="1:7">
      <c r="A5" s="911" t="s">
        <v>331</v>
      </c>
      <c r="B5" s="912"/>
      <c r="C5" s="912"/>
      <c r="D5" s="912"/>
      <c r="E5" s="912"/>
      <c r="F5" s="912"/>
      <c r="G5" s="913"/>
    </row>
    <row r="6" spans="1:7">
      <c r="A6" s="914" t="s">
        <v>282</v>
      </c>
      <c r="B6" s="915"/>
      <c r="C6" s="915"/>
      <c r="D6" s="915"/>
      <c r="E6" s="915"/>
      <c r="F6" s="915"/>
      <c r="G6" s="916"/>
    </row>
    <row r="7" spans="1:7">
      <c r="A7" s="357" t="s">
        <v>283</v>
      </c>
      <c r="B7" s="358"/>
      <c r="C7" s="359">
        <f>166.5218+164.6935</f>
        <v>331.21530000000001</v>
      </c>
      <c r="D7" s="359">
        <v>0.1</v>
      </c>
      <c r="E7" s="359">
        <f>D7*C7</f>
        <v>33.12153</v>
      </c>
      <c r="F7" s="224" t="s">
        <v>119</v>
      </c>
      <c r="G7" s="360" t="s">
        <v>239</v>
      </c>
    </row>
    <row r="8" spans="1:7">
      <c r="A8" s="922"/>
      <c r="B8" s="923"/>
      <c r="C8" s="361"/>
      <c r="D8" s="359"/>
      <c r="E8" s="359"/>
      <c r="F8" s="224"/>
      <c r="G8" s="362"/>
    </row>
    <row r="9" spans="1:7">
      <c r="A9" s="914" t="s">
        <v>284</v>
      </c>
      <c r="B9" s="915"/>
      <c r="C9" s="915"/>
      <c r="D9" s="915"/>
      <c r="E9" s="915"/>
      <c r="F9" s="915"/>
      <c r="G9" s="916"/>
    </row>
    <row r="10" spans="1:7">
      <c r="A10" s="917" t="s">
        <v>285</v>
      </c>
      <c r="B10" s="918"/>
      <c r="C10" s="359">
        <f>121.8479</f>
        <v>121.8479</v>
      </c>
      <c r="D10" s="359">
        <v>0.1</v>
      </c>
      <c r="E10" s="359">
        <f>((C10*2)/6)*D10</f>
        <v>4.0615966666666665</v>
      </c>
      <c r="F10" s="224" t="s">
        <v>118</v>
      </c>
      <c r="G10" s="360" t="s">
        <v>239</v>
      </c>
    </row>
    <row r="11" spans="1:7">
      <c r="A11" s="925" t="s">
        <v>286</v>
      </c>
      <c r="B11" s="926"/>
      <c r="C11" s="359">
        <v>30</v>
      </c>
      <c r="D11" s="359">
        <v>0.1</v>
      </c>
      <c r="E11" s="359">
        <f>D11*C11</f>
        <v>3</v>
      </c>
      <c r="F11" s="224" t="s">
        <v>119</v>
      </c>
      <c r="G11" s="360" t="s">
        <v>239</v>
      </c>
    </row>
    <row r="12" spans="1:7">
      <c r="A12" s="363"/>
      <c r="B12" s="364"/>
      <c r="C12" s="359"/>
      <c r="D12" s="359"/>
      <c r="E12" s="359"/>
      <c r="F12" s="224"/>
      <c r="G12" s="360"/>
    </row>
    <row r="13" spans="1:7">
      <c r="A13" s="914" t="s">
        <v>474</v>
      </c>
      <c r="B13" s="915"/>
      <c r="C13" s="915"/>
      <c r="D13" s="915"/>
      <c r="E13" s="915"/>
      <c r="F13" s="915"/>
      <c r="G13" s="916"/>
    </row>
    <row r="14" spans="1:7">
      <c r="A14" s="927" t="s">
        <v>288</v>
      </c>
      <c r="B14" s="928"/>
      <c r="C14" s="365" t="s">
        <v>239</v>
      </c>
      <c r="D14" s="365" t="s">
        <v>239</v>
      </c>
      <c r="E14" s="366">
        <f>3.89*2</f>
        <v>7.78</v>
      </c>
      <c r="F14" s="367" t="s">
        <v>289</v>
      </c>
      <c r="G14" s="360" t="s">
        <v>239</v>
      </c>
    </row>
    <row r="15" spans="1:7">
      <c r="A15" s="368" t="s">
        <v>475</v>
      </c>
      <c r="B15" s="369"/>
      <c r="C15" s="359">
        <v>3.5</v>
      </c>
      <c r="D15" s="359">
        <v>0.4</v>
      </c>
      <c r="E15" s="359">
        <f>D15*C15</f>
        <v>1.4000000000000001</v>
      </c>
      <c r="F15" s="224" t="s">
        <v>290</v>
      </c>
      <c r="G15" s="360" t="s">
        <v>239</v>
      </c>
    </row>
    <row r="16" spans="1:7">
      <c r="A16" s="368" t="s">
        <v>476</v>
      </c>
      <c r="B16" s="369"/>
      <c r="C16" s="359">
        <v>3.5</v>
      </c>
      <c r="D16" s="359">
        <v>0.4</v>
      </c>
      <c r="E16" s="359">
        <f>D16*C16</f>
        <v>1.4000000000000001</v>
      </c>
      <c r="F16" s="224" t="s">
        <v>290</v>
      </c>
      <c r="G16" s="360" t="s">
        <v>239</v>
      </c>
    </row>
    <row r="17" spans="1:7">
      <c r="A17" s="922"/>
      <c r="B17" s="929"/>
      <c r="C17" s="929"/>
      <c r="D17" s="929"/>
      <c r="E17" s="929"/>
      <c r="F17" s="929"/>
      <c r="G17" s="930"/>
    </row>
    <row r="18" spans="1:7">
      <c r="A18" s="911" t="s">
        <v>327</v>
      </c>
      <c r="B18" s="912"/>
      <c r="C18" s="912"/>
      <c r="D18" s="912"/>
      <c r="E18" s="912"/>
      <c r="F18" s="912"/>
      <c r="G18" s="913"/>
    </row>
    <row r="19" spans="1:7">
      <c r="A19" s="914" t="s">
        <v>282</v>
      </c>
      <c r="B19" s="915"/>
      <c r="C19" s="915"/>
      <c r="D19" s="915"/>
      <c r="E19" s="915"/>
      <c r="F19" s="915"/>
      <c r="G19" s="916"/>
    </row>
    <row r="20" spans="1:7">
      <c r="A20" s="357" t="s">
        <v>283</v>
      </c>
      <c r="B20" s="358"/>
      <c r="C20" s="359">
        <f>138.97+141.86</f>
        <v>280.83000000000004</v>
      </c>
      <c r="D20" s="359">
        <v>0.1</v>
      </c>
      <c r="E20" s="359">
        <f>D20*C20</f>
        <v>28.083000000000006</v>
      </c>
      <c r="F20" s="224" t="s">
        <v>119</v>
      </c>
      <c r="G20" s="360" t="s">
        <v>239</v>
      </c>
    </row>
    <row r="21" spans="1:7">
      <c r="A21" s="922"/>
      <c r="B21" s="923"/>
      <c r="C21" s="361"/>
      <c r="D21" s="359"/>
      <c r="E21" s="359"/>
      <c r="F21" s="224"/>
      <c r="G21" s="362"/>
    </row>
    <row r="22" spans="1:7">
      <c r="A22" s="914" t="s">
        <v>284</v>
      </c>
      <c r="B22" s="915"/>
      <c r="C22" s="915"/>
      <c r="D22" s="915"/>
      <c r="E22" s="915"/>
      <c r="F22" s="915"/>
      <c r="G22" s="916"/>
    </row>
    <row r="23" spans="1:7">
      <c r="A23" s="917" t="s">
        <v>285</v>
      </c>
      <c r="B23" s="918"/>
      <c r="C23" s="359">
        <v>96.39</v>
      </c>
      <c r="D23" s="359">
        <v>0.1</v>
      </c>
      <c r="E23" s="359">
        <f>((C23*2)/6)*D23</f>
        <v>3.2130000000000005</v>
      </c>
      <c r="F23" s="224" t="s">
        <v>118</v>
      </c>
      <c r="G23" s="360" t="s">
        <v>239</v>
      </c>
    </row>
    <row r="24" spans="1:7">
      <c r="A24" s="925" t="s">
        <v>286</v>
      </c>
      <c r="B24" s="926"/>
      <c r="C24" s="359">
        <v>30</v>
      </c>
      <c r="D24" s="359">
        <v>0.1</v>
      </c>
      <c r="E24" s="359">
        <f>D24*C24</f>
        <v>3</v>
      </c>
      <c r="F24" s="224" t="s">
        <v>119</v>
      </c>
      <c r="G24" s="360" t="s">
        <v>239</v>
      </c>
    </row>
    <row r="25" spans="1:7">
      <c r="A25" s="363"/>
      <c r="B25" s="364"/>
      <c r="C25" s="359"/>
      <c r="D25" s="359"/>
      <c r="E25" s="359"/>
      <c r="F25" s="224"/>
      <c r="G25" s="360"/>
    </row>
    <row r="26" spans="1:7">
      <c r="A26" s="914" t="s">
        <v>474</v>
      </c>
      <c r="B26" s="915"/>
      <c r="C26" s="915"/>
      <c r="D26" s="915"/>
      <c r="E26" s="915"/>
      <c r="F26" s="915"/>
      <c r="G26" s="916"/>
    </row>
    <row r="27" spans="1:7">
      <c r="A27" s="927" t="s">
        <v>288</v>
      </c>
      <c r="B27" s="928"/>
      <c r="C27" s="365" t="s">
        <v>239</v>
      </c>
      <c r="D27" s="365" t="s">
        <v>239</v>
      </c>
      <c r="E27" s="366">
        <f>3.89*2</f>
        <v>7.78</v>
      </c>
      <c r="F27" s="367" t="s">
        <v>289</v>
      </c>
      <c r="G27" s="360" t="s">
        <v>239</v>
      </c>
    </row>
    <row r="28" spans="1:7">
      <c r="A28" s="368" t="s">
        <v>477</v>
      </c>
      <c r="B28" s="369"/>
      <c r="C28" s="359">
        <v>3.5</v>
      </c>
      <c r="D28" s="359">
        <v>0.4</v>
      </c>
      <c r="E28" s="359">
        <f>D28*C28</f>
        <v>1.4000000000000001</v>
      </c>
      <c r="F28" s="224" t="s">
        <v>290</v>
      </c>
      <c r="G28" s="360" t="s">
        <v>239</v>
      </c>
    </row>
    <row r="29" spans="1:7">
      <c r="A29" s="368" t="s">
        <v>478</v>
      </c>
      <c r="B29" s="369"/>
      <c r="C29" s="359">
        <v>3.5</v>
      </c>
      <c r="D29" s="359">
        <v>0.4</v>
      </c>
      <c r="E29" s="359">
        <f>D29*C29</f>
        <v>1.4000000000000001</v>
      </c>
      <c r="F29" s="224" t="s">
        <v>290</v>
      </c>
      <c r="G29" s="360" t="s">
        <v>239</v>
      </c>
    </row>
    <row r="30" spans="1:7">
      <c r="A30" s="922"/>
      <c r="B30" s="929"/>
      <c r="C30" s="929"/>
      <c r="D30" s="929"/>
      <c r="E30" s="929"/>
      <c r="F30" s="929"/>
      <c r="G30" s="930"/>
    </row>
    <row r="31" spans="1:7">
      <c r="A31" s="911" t="s">
        <v>479</v>
      </c>
      <c r="B31" s="912"/>
      <c r="C31" s="912"/>
      <c r="D31" s="912"/>
      <c r="E31" s="912"/>
      <c r="F31" s="912"/>
      <c r="G31" s="913"/>
    </row>
    <row r="32" spans="1:7">
      <c r="A32" s="914" t="s">
        <v>282</v>
      </c>
      <c r="B32" s="915"/>
      <c r="C32" s="915"/>
      <c r="D32" s="915"/>
      <c r="E32" s="915"/>
      <c r="F32" s="915"/>
      <c r="G32" s="916"/>
    </row>
    <row r="33" spans="1:7">
      <c r="A33" s="357" t="s">
        <v>283</v>
      </c>
      <c r="B33" s="358"/>
      <c r="C33" s="359">
        <f>11.55+42.73+76.41+59.66+71.63+79.72</f>
        <v>341.70000000000005</v>
      </c>
      <c r="D33" s="359">
        <v>0.1</v>
      </c>
      <c r="E33" s="359">
        <f>D33*C33</f>
        <v>34.170000000000009</v>
      </c>
      <c r="F33" s="224" t="s">
        <v>119</v>
      </c>
      <c r="G33" s="360" t="s">
        <v>239</v>
      </c>
    </row>
    <row r="34" spans="1:7">
      <c r="A34" s="922"/>
      <c r="B34" s="923"/>
      <c r="C34" s="361"/>
      <c r="D34" s="359"/>
      <c r="E34" s="359"/>
      <c r="F34" s="224"/>
      <c r="G34" s="362"/>
    </row>
    <row r="35" spans="1:7">
      <c r="A35" s="914" t="s">
        <v>284</v>
      </c>
      <c r="B35" s="915"/>
      <c r="C35" s="915"/>
      <c r="D35" s="915"/>
      <c r="E35" s="915"/>
      <c r="F35" s="915"/>
      <c r="G35" s="916"/>
    </row>
    <row r="36" spans="1:7">
      <c r="A36" s="917" t="s">
        <v>285</v>
      </c>
      <c r="B36" s="918"/>
      <c r="C36" s="359">
        <v>165.06</v>
      </c>
      <c r="D36" s="359">
        <v>0.1</v>
      </c>
      <c r="E36" s="359">
        <f>((C36*2)/6)*D36</f>
        <v>5.5020000000000007</v>
      </c>
      <c r="F36" s="224" t="s">
        <v>118</v>
      </c>
      <c r="G36" s="360" t="s">
        <v>239</v>
      </c>
    </row>
    <row r="37" spans="1:7">
      <c r="A37" s="925" t="s">
        <v>286</v>
      </c>
      <c r="B37" s="926"/>
      <c r="C37" s="359">
        <v>15</v>
      </c>
      <c r="D37" s="359">
        <v>0.1</v>
      </c>
      <c r="E37" s="359">
        <f>D37*C37</f>
        <v>1.5</v>
      </c>
      <c r="F37" s="224" t="s">
        <v>119</v>
      </c>
      <c r="G37" s="360" t="s">
        <v>239</v>
      </c>
    </row>
    <row r="38" spans="1:7">
      <c r="A38" s="363"/>
      <c r="B38" s="364"/>
      <c r="C38" s="359"/>
      <c r="D38" s="359"/>
      <c r="E38" s="359"/>
      <c r="F38" s="224"/>
      <c r="G38" s="360"/>
    </row>
    <row r="39" spans="1:7">
      <c r="A39" s="914" t="s">
        <v>474</v>
      </c>
      <c r="B39" s="915"/>
      <c r="C39" s="915"/>
      <c r="D39" s="915"/>
      <c r="E39" s="915"/>
      <c r="F39" s="915"/>
      <c r="G39" s="916"/>
    </row>
    <row r="40" spans="1:7">
      <c r="A40" s="927" t="s">
        <v>312</v>
      </c>
      <c r="B40" s="928"/>
      <c r="C40" s="365" t="s">
        <v>239</v>
      </c>
      <c r="D40" s="365" t="s">
        <v>239</v>
      </c>
      <c r="E40" s="366">
        <f>3.89</f>
        <v>3.89</v>
      </c>
      <c r="F40" s="367" t="s">
        <v>289</v>
      </c>
      <c r="G40" s="360" t="s">
        <v>239</v>
      </c>
    </row>
    <row r="41" spans="1:7">
      <c r="A41" s="368" t="s">
        <v>480</v>
      </c>
      <c r="B41" s="369"/>
      <c r="C41" s="359">
        <v>3.5</v>
      </c>
      <c r="D41" s="359">
        <v>0.4</v>
      </c>
      <c r="E41" s="359">
        <f>D41*C41</f>
        <v>1.4000000000000001</v>
      </c>
      <c r="F41" s="224" t="s">
        <v>290</v>
      </c>
      <c r="G41" s="360" t="s">
        <v>239</v>
      </c>
    </row>
    <row r="42" spans="1:7">
      <c r="A42" s="922"/>
      <c r="B42" s="929"/>
      <c r="C42" s="929"/>
      <c r="D42" s="929"/>
      <c r="E42" s="929"/>
      <c r="F42" s="929"/>
      <c r="G42" s="930"/>
    </row>
    <row r="43" spans="1:7">
      <c r="A43" s="911" t="s">
        <v>335</v>
      </c>
      <c r="B43" s="912"/>
      <c r="C43" s="912"/>
      <c r="D43" s="912"/>
      <c r="E43" s="912"/>
      <c r="F43" s="912"/>
      <c r="G43" s="913"/>
    </row>
    <row r="44" spans="1:7">
      <c r="A44" s="914" t="s">
        <v>282</v>
      </c>
      <c r="B44" s="915"/>
      <c r="C44" s="915"/>
      <c r="D44" s="915"/>
      <c r="E44" s="915"/>
      <c r="F44" s="915"/>
      <c r="G44" s="916"/>
    </row>
    <row r="45" spans="1:7">
      <c r="A45" s="357" t="s">
        <v>283</v>
      </c>
      <c r="B45" s="358"/>
      <c r="C45" s="359">
        <f>90.22+96.91</f>
        <v>187.13</v>
      </c>
      <c r="D45" s="359">
        <v>0.1</v>
      </c>
      <c r="E45" s="359">
        <f>D45*C45</f>
        <v>18.713000000000001</v>
      </c>
      <c r="F45" s="224" t="s">
        <v>119</v>
      </c>
      <c r="G45" s="360" t="s">
        <v>239</v>
      </c>
    </row>
    <row r="46" spans="1:7">
      <c r="A46" s="922"/>
      <c r="B46" s="923"/>
      <c r="C46" s="361"/>
      <c r="D46" s="359"/>
      <c r="E46" s="359"/>
      <c r="F46" s="224"/>
      <c r="G46" s="362"/>
    </row>
    <row r="47" spans="1:7">
      <c r="A47" s="914" t="s">
        <v>284</v>
      </c>
      <c r="B47" s="915"/>
      <c r="C47" s="915"/>
      <c r="D47" s="915"/>
      <c r="E47" s="915"/>
      <c r="F47" s="915"/>
      <c r="G47" s="916"/>
    </row>
    <row r="48" spans="1:7">
      <c r="A48" s="917" t="s">
        <v>285</v>
      </c>
      <c r="B48" s="918"/>
      <c r="C48" s="359">
        <v>49.26</v>
      </c>
      <c r="D48" s="359">
        <v>0.1</v>
      </c>
      <c r="E48" s="359">
        <f>((C48*2)/6)*D48</f>
        <v>1.6419999999999999</v>
      </c>
      <c r="F48" s="224" t="s">
        <v>118</v>
      </c>
      <c r="G48" s="360" t="s">
        <v>239</v>
      </c>
    </row>
    <row r="49" spans="1:7">
      <c r="A49" s="925" t="s">
        <v>286</v>
      </c>
      <c r="B49" s="926"/>
      <c r="C49" s="359">
        <v>30</v>
      </c>
      <c r="D49" s="359">
        <v>0.1</v>
      </c>
      <c r="E49" s="359">
        <f>D49*C49</f>
        <v>3</v>
      </c>
      <c r="F49" s="224" t="s">
        <v>119</v>
      </c>
      <c r="G49" s="360" t="s">
        <v>239</v>
      </c>
    </row>
    <row r="50" spans="1:7">
      <c r="A50" s="363"/>
      <c r="B50" s="364"/>
      <c r="C50" s="359"/>
      <c r="D50" s="359"/>
      <c r="E50" s="359"/>
      <c r="F50" s="224"/>
      <c r="G50" s="360"/>
    </row>
    <row r="51" spans="1:7">
      <c r="A51" s="914" t="s">
        <v>474</v>
      </c>
      <c r="B51" s="915"/>
      <c r="C51" s="915"/>
      <c r="D51" s="915"/>
      <c r="E51" s="915"/>
      <c r="F51" s="915"/>
      <c r="G51" s="916"/>
    </row>
    <row r="52" spans="1:7">
      <c r="A52" s="927" t="s">
        <v>288</v>
      </c>
      <c r="B52" s="928"/>
      <c r="C52" s="365" t="s">
        <v>239</v>
      </c>
      <c r="D52" s="365" t="s">
        <v>239</v>
      </c>
      <c r="E52" s="366">
        <f>3.89*2</f>
        <v>7.78</v>
      </c>
      <c r="F52" s="367" t="s">
        <v>289</v>
      </c>
      <c r="G52" s="360" t="s">
        <v>239</v>
      </c>
    </row>
    <row r="53" spans="1:7">
      <c r="A53" s="368" t="s">
        <v>481</v>
      </c>
      <c r="B53" s="369"/>
      <c r="C53" s="359">
        <v>3.5</v>
      </c>
      <c r="D53" s="359">
        <v>0.4</v>
      </c>
      <c r="E53" s="359">
        <f>D53*C53</f>
        <v>1.4000000000000001</v>
      </c>
      <c r="F53" s="224" t="s">
        <v>290</v>
      </c>
      <c r="G53" s="360" t="s">
        <v>239</v>
      </c>
    </row>
    <row r="54" spans="1:7">
      <c r="A54" s="368" t="s">
        <v>482</v>
      </c>
      <c r="B54" s="369"/>
      <c r="C54" s="359">
        <v>3.5</v>
      </c>
      <c r="D54" s="359">
        <v>0.4</v>
      </c>
      <c r="E54" s="359">
        <f>D54*C54</f>
        <v>1.4000000000000001</v>
      </c>
      <c r="F54" s="224" t="s">
        <v>290</v>
      </c>
      <c r="G54" s="360" t="s">
        <v>239</v>
      </c>
    </row>
    <row r="55" spans="1:7">
      <c r="A55" s="922"/>
      <c r="B55" s="929"/>
      <c r="C55" s="929"/>
      <c r="D55" s="929"/>
      <c r="E55" s="929"/>
      <c r="F55" s="929"/>
      <c r="G55" s="930"/>
    </row>
    <row r="56" spans="1:7">
      <c r="A56" s="911" t="s">
        <v>325</v>
      </c>
      <c r="B56" s="912"/>
      <c r="C56" s="912"/>
      <c r="D56" s="912"/>
      <c r="E56" s="912"/>
      <c r="F56" s="912"/>
      <c r="G56" s="913"/>
    </row>
    <row r="57" spans="1:7">
      <c r="A57" s="914" t="s">
        <v>282</v>
      </c>
      <c r="B57" s="915"/>
      <c r="C57" s="915"/>
      <c r="D57" s="915"/>
      <c r="E57" s="915"/>
      <c r="F57" s="915"/>
      <c r="G57" s="916"/>
    </row>
    <row r="58" spans="1:7">
      <c r="A58" s="357" t="s">
        <v>283</v>
      </c>
      <c r="B58" s="358"/>
      <c r="C58" s="370">
        <f>247.42+137.26+229.2+126.33+247.6+247.5</f>
        <v>1235.31</v>
      </c>
      <c r="D58" s="359">
        <v>0.1</v>
      </c>
      <c r="E58" s="359">
        <f>D58*C58</f>
        <v>123.53100000000001</v>
      </c>
      <c r="F58" s="224" t="s">
        <v>119</v>
      </c>
      <c r="G58" s="360" t="s">
        <v>239</v>
      </c>
    </row>
    <row r="59" spans="1:7">
      <c r="A59" s="922"/>
      <c r="B59" s="923"/>
      <c r="C59" s="361"/>
      <c r="D59" s="359"/>
      <c r="E59" s="359"/>
      <c r="F59" s="224"/>
      <c r="G59" s="362"/>
    </row>
    <row r="60" spans="1:7">
      <c r="A60" s="914" t="s">
        <v>284</v>
      </c>
      <c r="B60" s="915"/>
      <c r="C60" s="915"/>
      <c r="D60" s="915"/>
      <c r="E60" s="915"/>
      <c r="F60" s="915"/>
      <c r="G60" s="916"/>
    </row>
    <row r="61" spans="1:7">
      <c r="A61" s="917" t="s">
        <v>285</v>
      </c>
      <c r="B61" s="918"/>
      <c r="C61" s="359">
        <f>354.35+223.97</f>
        <v>578.32000000000005</v>
      </c>
      <c r="D61" s="359">
        <v>0.1</v>
      </c>
      <c r="E61" s="359">
        <f>((C61*2)/6)*D61</f>
        <v>19.277333333333335</v>
      </c>
      <c r="F61" s="224" t="s">
        <v>118</v>
      </c>
      <c r="G61" s="360" t="s">
        <v>239</v>
      </c>
    </row>
    <row r="62" spans="1:7">
      <c r="A62" s="925" t="s">
        <v>286</v>
      </c>
      <c r="B62" s="926"/>
      <c r="C62" s="359">
        <v>30</v>
      </c>
      <c r="D62" s="359">
        <v>0.1</v>
      </c>
      <c r="E62" s="359">
        <f>D62*C62</f>
        <v>3</v>
      </c>
      <c r="F62" s="224" t="s">
        <v>119</v>
      </c>
      <c r="G62" s="360" t="s">
        <v>239</v>
      </c>
    </row>
    <row r="63" spans="1:7">
      <c r="A63" s="363"/>
      <c r="B63" s="364"/>
      <c r="C63" s="359"/>
      <c r="D63" s="359"/>
      <c r="E63" s="359"/>
      <c r="F63" s="224"/>
      <c r="G63" s="360"/>
    </row>
    <row r="64" spans="1:7">
      <c r="A64" s="914" t="s">
        <v>474</v>
      </c>
      <c r="B64" s="915"/>
      <c r="C64" s="915"/>
      <c r="D64" s="915"/>
      <c r="E64" s="915"/>
      <c r="F64" s="915"/>
      <c r="G64" s="916"/>
    </row>
    <row r="65" spans="1:7">
      <c r="A65" s="927" t="s">
        <v>288</v>
      </c>
      <c r="B65" s="928"/>
      <c r="C65" s="365" t="s">
        <v>239</v>
      </c>
      <c r="D65" s="365" t="s">
        <v>239</v>
      </c>
      <c r="E65" s="366">
        <f>3.89*2</f>
        <v>7.78</v>
      </c>
      <c r="F65" s="367" t="s">
        <v>289</v>
      </c>
      <c r="G65" s="360" t="s">
        <v>239</v>
      </c>
    </row>
    <row r="66" spans="1:7">
      <c r="A66" s="368" t="s">
        <v>483</v>
      </c>
      <c r="B66" s="369"/>
      <c r="C66" s="359">
        <v>3.5</v>
      </c>
      <c r="D66" s="359">
        <v>0.4</v>
      </c>
      <c r="E66" s="359">
        <f>D66*C66</f>
        <v>1.4000000000000001</v>
      </c>
      <c r="F66" s="224" t="s">
        <v>290</v>
      </c>
      <c r="G66" s="360" t="s">
        <v>239</v>
      </c>
    </row>
    <row r="67" spans="1:7">
      <c r="A67" s="368" t="s">
        <v>484</v>
      </c>
      <c r="B67" s="369"/>
      <c r="C67" s="359">
        <v>7.6</v>
      </c>
      <c r="D67" s="359">
        <v>0.4</v>
      </c>
      <c r="E67" s="359">
        <f>D67*C67</f>
        <v>3.04</v>
      </c>
      <c r="F67" s="224" t="s">
        <v>290</v>
      </c>
      <c r="G67" s="360" t="s">
        <v>239</v>
      </c>
    </row>
    <row r="68" spans="1:7">
      <c r="A68" s="922"/>
      <c r="B68" s="929"/>
      <c r="C68" s="929"/>
      <c r="D68" s="929"/>
      <c r="E68" s="929"/>
      <c r="F68" s="929"/>
      <c r="G68" s="930"/>
    </row>
    <row r="69" spans="1:7">
      <c r="A69" s="911" t="s">
        <v>334</v>
      </c>
      <c r="B69" s="912"/>
      <c r="C69" s="912"/>
      <c r="D69" s="912"/>
      <c r="E69" s="912"/>
      <c r="F69" s="912"/>
      <c r="G69" s="913"/>
    </row>
    <row r="70" spans="1:7">
      <c r="A70" s="914" t="s">
        <v>282</v>
      </c>
      <c r="B70" s="915"/>
      <c r="C70" s="915"/>
      <c r="D70" s="915"/>
      <c r="E70" s="915"/>
      <c r="F70" s="915"/>
      <c r="G70" s="916"/>
    </row>
    <row r="71" spans="1:7">
      <c r="A71" s="357" t="s">
        <v>283</v>
      </c>
      <c r="B71" s="358"/>
      <c r="C71" s="370">
        <f>186.39+179.05+216.4+211.23+137.8+139.49</f>
        <v>1070.3600000000001</v>
      </c>
      <c r="D71" s="359">
        <v>0.1</v>
      </c>
      <c r="E71" s="359">
        <f>D71*C71</f>
        <v>107.03600000000002</v>
      </c>
      <c r="F71" s="224" t="s">
        <v>119</v>
      </c>
      <c r="G71" s="360" t="s">
        <v>239</v>
      </c>
    </row>
    <row r="72" spans="1:7">
      <c r="A72" s="922"/>
      <c r="B72" s="923"/>
      <c r="C72" s="361"/>
      <c r="D72" s="359"/>
      <c r="E72" s="359"/>
      <c r="F72" s="224"/>
      <c r="G72" s="362"/>
    </row>
    <row r="73" spans="1:7">
      <c r="A73" s="914" t="s">
        <v>284</v>
      </c>
      <c r="B73" s="915"/>
      <c r="C73" s="915"/>
      <c r="D73" s="915"/>
      <c r="E73" s="915"/>
      <c r="F73" s="915"/>
      <c r="G73" s="916"/>
    </row>
    <row r="74" spans="1:7">
      <c r="A74" s="917" t="s">
        <v>285</v>
      </c>
      <c r="B74" s="918"/>
      <c r="C74" s="359">
        <f>189.44+132.05+158.54</f>
        <v>480.03</v>
      </c>
      <c r="D74" s="359">
        <v>0.1</v>
      </c>
      <c r="E74" s="359">
        <f>((C74*2)/6)*D74</f>
        <v>16.001000000000001</v>
      </c>
      <c r="F74" s="224" t="s">
        <v>118</v>
      </c>
      <c r="G74" s="360" t="s">
        <v>239</v>
      </c>
    </row>
    <row r="75" spans="1:7">
      <c r="A75" s="925" t="s">
        <v>286</v>
      </c>
      <c r="B75" s="926"/>
      <c r="C75" s="359">
        <v>15</v>
      </c>
      <c r="D75" s="359">
        <v>0.1</v>
      </c>
      <c r="E75" s="359">
        <f>D75*C75</f>
        <v>1.5</v>
      </c>
      <c r="F75" s="224" t="s">
        <v>119</v>
      </c>
      <c r="G75" s="360" t="s">
        <v>239</v>
      </c>
    </row>
    <row r="76" spans="1:7">
      <c r="A76" s="363"/>
      <c r="B76" s="364"/>
      <c r="C76" s="359"/>
      <c r="D76" s="359"/>
      <c r="E76" s="359"/>
      <c r="F76" s="224"/>
      <c r="G76" s="360"/>
    </row>
    <row r="77" spans="1:7">
      <c r="A77" s="914" t="s">
        <v>474</v>
      </c>
      <c r="B77" s="915"/>
      <c r="C77" s="915"/>
      <c r="D77" s="915"/>
      <c r="E77" s="915"/>
      <c r="F77" s="915"/>
      <c r="G77" s="916"/>
    </row>
    <row r="78" spans="1:7">
      <c r="A78" s="927" t="s">
        <v>288</v>
      </c>
      <c r="B78" s="928"/>
      <c r="C78" s="365" t="s">
        <v>239</v>
      </c>
      <c r="D78" s="365" t="s">
        <v>239</v>
      </c>
      <c r="E78" s="366">
        <f>3.89*2</f>
        <v>7.78</v>
      </c>
      <c r="F78" s="367" t="s">
        <v>289</v>
      </c>
      <c r="G78" s="360" t="s">
        <v>239</v>
      </c>
    </row>
    <row r="79" spans="1:7">
      <c r="A79" s="368" t="s">
        <v>485</v>
      </c>
      <c r="B79" s="369"/>
      <c r="C79" s="359">
        <v>4</v>
      </c>
      <c r="D79" s="359">
        <v>0.4</v>
      </c>
      <c r="E79" s="359">
        <f>D79*C79</f>
        <v>1.6</v>
      </c>
      <c r="F79" s="224" t="s">
        <v>290</v>
      </c>
      <c r="G79" s="360" t="s">
        <v>239</v>
      </c>
    </row>
    <row r="80" spans="1:7">
      <c r="A80" s="368" t="s">
        <v>486</v>
      </c>
      <c r="B80" s="369"/>
      <c r="C80" s="359">
        <v>4</v>
      </c>
      <c r="D80" s="359">
        <v>0.4</v>
      </c>
      <c r="E80" s="359">
        <f>D80*C80</f>
        <v>1.6</v>
      </c>
      <c r="F80" s="224" t="s">
        <v>290</v>
      </c>
      <c r="G80" s="360" t="s">
        <v>239</v>
      </c>
    </row>
    <row r="81" spans="1:8">
      <c r="A81" s="922"/>
      <c r="B81" s="929"/>
      <c r="C81" s="929"/>
      <c r="D81" s="929"/>
      <c r="E81" s="929"/>
      <c r="F81" s="929"/>
      <c r="G81" s="930"/>
    </row>
    <row r="82" spans="1:8">
      <c r="A82" s="911" t="s">
        <v>328</v>
      </c>
      <c r="B82" s="912"/>
      <c r="C82" s="912"/>
      <c r="D82" s="912"/>
      <c r="E82" s="912"/>
      <c r="F82" s="912"/>
      <c r="G82" s="913"/>
    </row>
    <row r="83" spans="1:8">
      <c r="A83" s="914" t="s">
        <v>282</v>
      </c>
      <c r="B83" s="915"/>
      <c r="C83" s="915"/>
      <c r="D83" s="915"/>
      <c r="E83" s="915"/>
      <c r="F83" s="915"/>
      <c r="G83" s="916"/>
    </row>
    <row r="84" spans="1:8">
      <c r="A84" s="357" t="s">
        <v>283</v>
      </c>
      <c r="B84" s="358"/>
      <c r="C84" s="359">
        <f>118.39+120.56+149.01+178.77+336.05</f>
        <v>902.78</v>
      </c>
      <c r="D84" s="359">
        <v>0.1</v>
      </c>
      <c r="E84" s="359">
        <f>D84*C84</f>
        <v>90.278000000000006</v>
      </c>
      <c r="F84" s="224" t="s">
        <v>119</v>
      </c>
      <c r="G84" s="360" t="s">
        <v>239</v>
      </c>
    </row>
    <row r="85" spans="1:8">
      <c r="A85" s="922"/>
      <c r="B85" s="923"/>
      <c r="C85" s="361"/>
      <c r="D85" s="359"/>
      <c r="E85" s="359"/>
      <c r="F85" s="224"/>
      <c r="G85" s="362"/>
    </row>
    <row r="86" spans="1:8">
      <c r="A86" s="914" t="s">
        <v>284</v>
      </c>
      <c r="B86" s="915"/>
      <c r="C86" s="915"/>
      <c r="D86" s="915"/>
      <c r="E86" s="915"/>
      <c r="F86" s="915"/>
      <c r="G86" s="916"/>
    </row>
    <row r="87" spans="1:8">
      <c r="A87" s="917" t="s">
        <v>285</v>
      </c>
      <c r="B87" s="918"/>
      <c r="C87" s="359">
        <f>308.35+91.71</f>
        <v>400.06</v>
      </c>
      <c r="D87" s="359">
        <v>0.1</v>
      </c>
      <c r="E87" s="359">
        <f>((C87*2)/6)*D87</f>
        <v>13.335333333333333</v>
      </c>
      <c r="F87" s="224" t="s">
        <v>118</v>
      </c>
      <c r="G87" s="360" t="s">
        <v>239</v>
      </c>
    </row>
    <row r="88" spans="1:8">
      <c r="A88" s="925" t="s">
        <v>286</v>
      </c>
      <c r="B88" s="926"/>
      <c r="C88" s="359">
        <v>30</v>
      </c>
      <c r="D88" s="359">
        <v>0.1</v>
      </c>
      <c r="E88" s="359">
        <f>D88*C88</f>
        <v>3</v>
      </c>
      <c r="F88" s="224" t="s">
        <v>119</v>
      </c>
      <c r="G88" s="360" t="s">
        <v>239</v>
      </c>
    </row>
    <row r="89" spans="1:8">
      <c r="A89" s="363"/>
      <c r="B89" s="364"/>
      <c r="C89" s="359"/>
      <c r="D89" s="359"/>
      <c r="E89" s="359"/>
      <c r="F89" s="224"/>
      <c r="G89" s="360"/>
    </row>
    <row r="90" spans="1:8">
      <c r="A90" s="914" t="s">
        <v>474</v>
      </c>
      <c r="B90" s="915"/>
      <c r="C90" s="915"/>
      <c r="D90" s="915"/>
      <c r="E90" s="915"/>
      <c r="F90" s="915"/>
      <c r="G90" s="916"/>
    </row>
    <row r="91" spans="1:8">
      <c r="A91" s="927" t="s">
        <v>288</v>
      </c>
      <c r="B91" s="928"/>
      <c r="C91" s="365" t="s">
        <v>239</v>
      </c>
      <c r="D91" s="365" t="s">
        <v>239</v>
      </c>
      <c r="E91" s="366">
        <f>3.89*2</f>
        <v>7.78</v>
      </c>
      <c r="F91" s="367" t="s">
        <v>289</v>
      </c>
      <c r="G91" s="360" t="s">
        <v>239</v>
      </c>
    </row>
    <row r="92" spans="1:8">
      <c r="A92" s="368" t="s">
        <v>487</v>
      </c>
      <c r="B92" s="369"/>
      <c r="C92" s="359">
        <v>4</v>
      </c>
      <c r="D92" s="359">
        <v>0.4</v>
      </c>
      <c r="E92" s="359">
        <f>D92*C92</f>
        <v>1.6</v>
      </c>
      <c r="F92" s="224" t="s">
        <v>290</v>
      </c>
      <c r="G92" s="360" t="s">
        <v>239</v>
      </c>
    </row>
    <row r="93" spans="1:8" s="55" customFormat="1">
      <c r="A93" s="368" t="s">
        <v>488</v>
      </c>
      <c r="B93" s="369"/>
      <c r="C93" s="359">
        <v>4</v>
      </c>
      <c r="D93" s="359">
        <v>0.4</v>
      </c>
      <c r="E93" s="359">
        <f>D93*C93</f>
        <v>1.6</v>
      </c>
      <c r="F93" s="224" t="s">
        <v>290</v>
      </c>
      <c r="G93" s="360" t="s">
        <v>239</v>
      </c>
      <c r="H93" s="44"/>
    </row>
    <row r="94" spans="1:8">
      <c r="A94" s="922"/>
      <c r="B94" s="929"/>
      <c r="C94" s="929"/>
      <c r="D94" s="929"/>
      <c r="E94" s="929"/>
      <c r="F94" s="929"/>
      <c r="G94" s="930"/>
    </row>
    <row r="95" spans="1:8">
      <c r="A95" s="911" t="s">
        <v>326</v>
      </c>
      <c r="B95" s="912"/>
      <c r="C95" s="912"/>
      <c r="D95" s="912"/>
      <c r="E95" s="912"/>
      <c r="F95" s="912"/>
      <c r="G95" s="913"/>
    </row>
    <row r="96" spans="1:8">
      <c r="A96" s="914" t="s">
        <v>282</v>
      </c>
      <c r="B96" s="915"/>
      <c r="C96" s="915"/>
      <c r="D96" s="915"/>
      <c r="E96" s="915"/>
      <c r="F96" s="915"/>
      <c r="G96" s="916"/>
    </row>
    <row r="97" spans="1:7">
      <c r="A97" s="357" t="s">
        <v>283</v>
      </c>
      <c r="B97" s="358"/>
      <c r="C97" s="359">
        <f>65.76+65.98+66.63+66.59</f>
        <v>264.96000000000004</v>
      </c>
      <c r="D97" s="359">
        <v>0.1</v>
      </c>
      <c r="E97" s="359">
        <f>D97*C97</f>
        <v>26.496000000000006</v>
      </c>
      <c r="F97" s="224" t="s">
        <v>119</v>
      </c>
      <c r="G97" s="360" t="s">
        <v>239</v>
      </c>
    </row>
    <row r="98" spans="1:7">
      <c r="A98" s="922"/>
      <c r="B98" s="923"/>
      <c r="C98" s="361"/>
      <c r="D98" s="359"/>
      <c r="E98" s="359"/>
      <c r="F98" s="224"/>
      <c r="G98" s="362"/>
    </row>
    <row r="99" spans="1:7">
      <c r="A99" s="914" t="s">
        <v>284</v>
      </c>
      <c r="B99" s="915"/>
      <c r="C99" s="915"/>
      <c r="D99" s="915"/>
      <c r="E99" s="915"/>
      <c r="F99" s="915"/>
      <c r="G99" s="916"/>
    </row>
    <row r="100" spans="1:7">
      <c r="A100" s="917" t="s">
        <v>285</v>
      </c>
      <c r="B100" s="918"/>
      <c r="C100" s="359">
        <f>22.02+22.95</f>
        <v>44.97</v>
      </c>
      <c r="D100" s="359">
        <v>0.1</v>
      </c>
      <c r="E100" s="359">
        <f>((C100*2)/6)*D100</f>
        <v>1.4990000000000001</v>
      </c>
      <c r="F100" s="224" t="s">
        <v>118</v>
      </c>
      <c r="G100" s="360" t="s">
        <v>239</v>
      </c>
    </row>
    <row r="101" spans="1:7">
      <c r="A101" s="925" t="s">
        <v>286</v>
      </c>
      <c r="B101" s="926"/>
      <c r="C101" s="359">
        <v>60</v>
      </c>
      <c r="D101" s="359">
        <v>0.1</v>
      </c>
      <c r="E101" s="359">
        <f>D101*C101</f>
        <v>6</v>
      </c>
      <c r="F101" s="224" t="s">
        <v>119</v>
      </c>
      <c r="G101" s="360" t="s">
        <v>239</v>
      </c>
    </row>
    <row r="102" spans="1:7">
      <c r="A102" s="363"/>
      <c r="B102" s="364"/>
      <c r="C102" s="359"/>
      <c r="D102" s="359"/>
      <c r="E102" s="359"/>
      <c r="F102" s="224"/>
      <c r="G102" s="360"/>
    </row>
    <row r="103" spans="1:7">
      <c r="A103" s="914" t="s">
        <v>474</v>
      </c>
      <c r="B103" s="915"/>
      <c r="C103" s="915"/>
      <c r="D103" s="915"/>
      <c r="E103" s="915"/>
      <c r="F103" s="915"/>
      <c r="G103" s="916"/>
    </row>
    <row r="104" spans="1:7">
      <c r="A104" s="927" t="s">
        <v>489</v>
      </c>
      <c r="B104" s="928"/>
      <c r="C104" s="365" t="s">
        <v>239</v>
      </c>
      <c r="D104" s="365" t="s">
        <v>239</v>
      </c>
      <c r="E104" s="366">
        <f>3.89*5</f>
        <v>19.45</v>
      </c>
      <c r="F104" s="367" t="s">
        <v>289</v>
      </c>
      <c r="G104" s="360" t="s">
        <v>239</v>
      </c>
    </row>
    <row r="105" spans="1:7">
      <c r="A105" s="368" t="s">
        <v>490</v>
      </c>
      <c r="B105" s="369"/>
      <c r="C105" s="359">
        <v>3.5</v>
      </c>
      <c r="D105" s="359">
        <v>0.4</v>
      </c>
      <c r="E105" s="359">
        <f>D105*C105</f>
        <v>1.4000000000000001</v>
      </c>
      <c r="F105" s="224" t="s">
        <v>290</v>
      </c>
      <c r="G105" s="360" t="s">
        <v>239</v>
      </c>
    </row>
    <row r="106" spans="1:7">
      <c r="A106" s="368" t="s">
        <v>491</v>
      </c>
      <c r="B106" s="369"/>
      <c r="C106" s="359">
        <v>3.5</v>
      </c>
      <c r="D106" s="359">
        <v>0.4</v>
      </c>
      <c r="E106" s="359">
        <f>D106*C106</f>
        <v>1.4000000000000001</v>
      </c>
      <c r="F106" s="224" t="s">
        <v>290</v>
      </c>
      <c r="G106" s="360" t="s">
        <v>239</v>
      </c>
    </row>
    <row r="107" spans="1:7">
      <c r="A107" s="368" t="s">
        <v>492</v>
      </c>
      <c r="B107" s="369"/>
      <c r="C107" s="359">
        <v>3.5</v>
      </c>
      <c r="D107" s="359">
        <v>0.4</v>
      </c>
      <c r="E107" s="359">
        <f>D107*C107</f>
        <v>1.4000000000000001</v>
      </c>
      <c r="F107" s="224" t="s">
        <v>290</v>
      </c>
      <c r="G107" s="360" t="s">
        <v>239</v>
      </c>
    </row>
    <row r="108" spans="1:7">
      <c r="A108" s="368" t="s">
        <v>493</v>
      </c>
      <c r="B108" s="369"/>
      <c r="C108" s="359">
        <v>3.5</v>
      </c>
      <c r="D108" s="359">
        <v>0.4</v>
      </c>
      <c r="E108" s="359">
        <f>D108*C108</f>
        <v>1.4000000000000001</v>
      </c>
      <c r="F108" s="224" t="s">
        <v>290</v>
      </c>
      <c r="G108" s="360" t="s">
        <v>239</v>
      </c>
    </row>
    <row r="109" spans="1:7">
      <c r="A109" s="368" t="s">
        <v>494</v>
      </c>
      <c r="B109" s="369"/>
      <c r="C109" s="359">
        <v>3.5</v>
      </c>
      <c r="D109" s="359">
        <v>0.4</v>
      </c>
      <c r="E109" s="359">
        <f>D109*C109</f>
        <v>1.4000000000000001</v>
      </c>
      <c r="F109" s="224" t="s">
        <v>290</v>
      </c>
      <c r="G109" s="360" t="s">
        <v>239</v>
      </c>
    </row>
    <row r="110" spans="1:7">
      <c r="A110" s="922"/>
      <c r="B110" s="929"/>
      <c r="C110" s="929"/>
      <c r="D110" s="929"/>
      <c r="E110" s="929"/>
      <c r="F110" s="929"/>
      <c r="G110" s="930"/>
    </row>
    <row r="111" spans="1:7">
      <c r="A111" s="911" t="s">
        <v>329</v>
      </c>
      <c r="B111" s="912"/>
      <c r="C111" s="912"/>
      <c r="D111" s="912"/>
      <c r="E111" s="912"/>
      <c r="F111" s="912"/>
      <c r="G111" s="913"/>
    </row>
    <row r="112" spans="1:7">
      <c r="A112" s="914" t="s">
        <v>282</v>
      </c>
      <c r="B112" s="915"/>
      <c r="C112" s="915"/>
      <c r="D112" s="915"/>
      <c r="E112" s="915"/>
      <c r="F112" s="915"/>
      <c r="G112" s="916"/>
    </row>
    <row r="113" spans="1:7">
      <c r="A113" s="357" t="s">
        <v>283</v>
      </c>
      <c r="B113" s="358"/>
      <c r="C113" s="359">
        <f>67+117.29+116.75+64.48+63.07+65.89</f>
        <v>494.48</v>
      </c>
      <c r="D113" s="359">
        <v>0.1</v>
      </c>
      <c r="E113" s="359">
        <f>D113*C113</f>
        <v>49.448000000000008</v>
      </c>
      <c r="F113" s="224" t="s">
        <v>119</v>
      </c>
      <c r="G113" s="360" t="s">
        <v>239</v>
      </c>
    </row>
    <row r="114" spans="1:7">
      <c r="A114" s="922"/>
      <c r="B114" s="923"/>
      <c r="C114" s="361"/>
      <c r="D114" s="359"/>
      <c r="E114" s="359"/>
      <c r="F114" s="224"/>
      <c r="G114" s="362"/>
    </row>
    <row r="115" spans="1:7">
      <c r="A115" s="914" t="s">
        <v>284</v>
      </c>
      <c r="B115" s="915"/>
      <c r="C115" s="915"/>
      <c r="D115" s="915"/>
      <c r="E115" s="915"/>
      <c r="F115" s="915"/>
      <c r="G115" s="916"/>
    </row>
    <row r="116" spans="1:7">
      <c r="A116" s="917" t="s">
        <v>285</v>
      </c>
      <c r="B116" s="918"/>
      <c r="C116" s="359">
        <f>19.87+22.17+71.84</f>
        <v>113.88000000000001</v>
      </c>
      <c r="D116" s="359">
        <v>0.1</v>
      </c>
      <c r="E116" s="359">
        <f>((C116*2)/6)*D116</f>
        <v>3.7960000000000003</v>
      </c>
      <c r="F116" s="224" t="s">
        <v>118</v>
      </c>
      <c r="G116" s="360" t="s">
        <v>239</v>
      </c>
    </row>
    <row r="117" spans="1:7">
      <c r="A117" s="925" t="s">
        <v>286</v>
      </c>
      <c r="B117" s="926"/>
      <c r="C117" s="359">
        <v>90</v>
      </c>
      <c r="D117" s="359">
        <v>0.1</v>
      </c>
      <c r="E117" s="359">
        <f>D117*C117</f>
        <v>9</v>
      </c>
      <c r="F117" s="224" t="s">
        <v>119</v>
      </c>
      <c r="G117" s="360" t="s">
        <v>239</v>
      </c>
    </row>
    <row r="118" spans="1:7">
      <c r="A118" s="363"/>
      <c r="B118" s="364"/>
      <c r="C118" s="359"/>
      <c r="D118" s="359"/>
      <c r="E118" s="359"/>
      <c r="F118" s="224"/>
      <c r="G118" s="360"/>
    </row>
    <row r="119" spans="1:7">
      <c r="A119" s="914" t="s">
        <v>287</v>
      </c>
      <c r="B119" s="915"/>
      <c r="C119" s="915"/>
      <c r="D119" s="915"/>
      <c r="E119" s="915"/>
      <c r="F119" s="915"/>
      <c r="G119" s="916"/>
    </row>
    <row r="120" spans="1:7">
      <c r="A120" s="927" t="s">
        <v>495</v>
      </c>
      <c r="B120" s="928"/>
      <c r="C120" s="365" t="s">
        <v>239</v>
      </c>
      <c r="D120" s="365" t="s">
        <v>239</v>
      </c>
      <c r="E120" s="366">
        <f>3.89*6</f>
        <v>23.34</v>
      </c>
      <c r="F120" s="367" t="s">
        <v>289</v>
      </c>
      <c r="G120" s="360" t="s">
        <v>239</v>
      </c>
    </row>
    <row r="121" spans="1:7">
      <c r="A121" s="368" t="s">
        <v>496</v>
      </c>
      <c r="B121" s="369"/>
      <c r="C121" s="359">
        <v>3.5</v>
      </c>
      <c r="D121" s="359">
        <v>0.4</v>
      </c>
      <c r="E121" s="359">
        <f t="shared" ref="E121:E126" si="0">D121*C121</f>
        <v>1.4000000000000001</v>
      </c>
      <c r="F121" s="224" t="s">
        <v>290</v>
      </c>
      <c r="G121" s="360" t="s">
        <v>239</v>
      </c>
    </row>
    <row r="122" spans="1:7">
      <c r="A122" s="368" t="s">
        <v>497</v>
      </c>
      <c r="B122" s="369"/>
      <c r="C122" s="359">
        <v>3.5</v>
      </c>
      <c r="D122" s="359">
        <v>0.4</v>
      </c>
      <c r="E122" s="359">
        <f t="shared" si="0"/>
        <v>1.4000000000000001</v>
      </c>
      <c r="F122" s="224" t="s">
        <v>290</v>
      </c>
      <c r="G122" s="360" t="s">
        <v>239</v>
      </c>
    </row>
    <row r="123" spans="1:7">
      <c r="A123" s="368" t="s">
        <v>498</v>
      </c>
      <c r="B123" s="369"/>
      <c r="C123" s="359">
        <v>3.5</v>
      </c>
      <c r="D123" s="359">
        <v>0.4</v>
      </c>
      <c r="E123" s="359">
        <f t="shared" si="0"/>
        <v>1.4000000000000001</v>
      </c>
      <c r="F123" s="224" t="s">
        <v>290</v>
      </c>
      <c r="G123" s="360" t="s">
        <v>239</v>
      </c>
    </row>
    <row r="124" spans="1:7">
      <c r="A124" s="368" t="s">
        <v>499</v>
      </c>
      <c r="B124" s="369"/>
      <c r="C124" s="359">
        <v>3.5</v>
      </c>
      <c r="D124" s="359">
        <v>0.4</v>
      </c>
      <c r="E124" s="359">
        <f t="shared" si="0"/>
        <v>1.4000000000000001</v>
      </c>
      <c r="F124" s="224" t="s">
        <v>290</v>
      </c>
      <c r="G124" s="360" t="s">
        <v>239</v>
      </c>
    </row>
    <row r="125" spans="1:7">
      <c r="A125" s="368" t="s">
        <v>500</v>
      </c>
      <c r="B125" s="369"/>
      <c r="C125" s="359">
        <v>3.5</v>
      </c>
      <c r="D125" s="359">
        <v>0.4</v>
      </c>
      <c r="E125" s="359">
        <f t="shared" si="0"/>
        <v>1.4000000000000001</v>
      </c>
      <c r="F125" s="224" t="s">
        <v>290</v>
      </c>
      <c r="G125" s="360" t="s">
        <v>239</v>
      </c>
    </row>
    <row r="126" spans="1:7">
      <c r="A126" s="368" t="s">
        <v>501</v>
      </c>
      <c r="B126" s="369"/>
      <c r="C126" s="359">
        <v>3.5</v>
      </c>
      <c r="D126" s="359">
        <v>0.4</v>
      </c>
      <c r="E126" s="359">
        <f t="shared" si="0"/>
        <v>1.4000000000000001</v>
      </c>
      <c r="F126" s="224" t="s">
        <v>290</v>
      </c>
      <c r="G126" s="360" t="s">
        <v>239</v>
      </c>
    </row>
    <row r="127" spans="1:7">
      <c r="A127" s="922"/>
      <c r="B127" s="929"/>
      <c r="C127" s="929"/>
      <c r="D127" s="929"/>
      <c r="E127" s="929"/>
      <c r="F127" s="929"/>
      <c r="G127" s="930"/>
    </row>
    <row r="128" spans="1:7">
      <c r="A128" s="911" t="s">
        <v>332</v>
      </c>
      <c r="B128" s="912"/>
      <c r="C128" s="912"/>
      <c r="D128" s="912"/>
      <c r="E128" s="912"/>
      <c r="F128" s="912"/>
      <c r="G128" s="913"/>
    </row>
    <row r="129" spans="1:7">
      <c r="A129" s="914" t="s">
        <v>282</v>
      </c>
      <c r="B129" s="915"/>
      <c r="C129" s="915"/>
      <c r="D129" s="915"/>
      <c r="E129" s="915"/>
      <c r="F129" s="915"/>
      <c r="G129" s="916"/>
    </row>
    <row r="130" spans="1:7">
      <c r="A130" s="357" t="s">
        <v>283</v>
      </c>
      <c r="B130" s="358"/>
      <c r="C130" s="359">
        <f>128.37+75.91+70.2+7.4+417.71+127.56</f>
        <v>827.14999999999986</v>
      </c>
      <c r="D130" s="359">
        <v>0.1</v>
      </c>
      <c r="E130" s="359">
        <f>D130*C130</f>
        <v>82.714999999999989</v>
      </c>
      <c r="F130" s="224" t="s">
        <v>119</v>
      </c>
      <c r="G130" s="360" t="s">
        <v>239</v>
      </c>
    </row>
    <row r="131" spans="1:7">
      <c r="A131" s="922"/>
      <c r="B131" s="923"/>
      <c r="C131" s="361"/>
      <c r="D131" s="359"/>
      <c r="E131" s="359"/>
      <c r="F131" s="224"/>
      <c r="G131" s="362"/>
    </row>
    <row r="132" spans="1:7">
      <c r="A132" s="914" t="s">
        <v>284</v>
      </c>
      <c r="B132" s="915"/>
      <c r="C132" s="915"/>
      <c r="D132" s="915"/>
      <c r="E132" s="915"/>
      <c r="F132" s="915"/>
      <c r="G132" s="916"/>
    </row>
    <row r="133" spans="1:7">
      <c r="A133" s="917" t="s">
        <v>285</v>
      </c>
      <c r="B133" s="918"/>
      <c r="C133" s="359">
        <v>408.9</v>
      </c>
      <c r="D133" s="359">
        <v>0.1</v>
      </c>
      <c r="E133" s="359">
        <f>((C133*2)/6)*D133</f>
        <v>13.629999999999999</v>
      </c>
      <c r="F133" s="224" t="s">
        <v>118</v>
      </c>
      <c r="G133" s="360" t="s">
        <v>239</v>
      </c>
    </row>
    <row r="134" spans="1:7">
      <c r="A134" s="925" t="s">
        <v>286</v>
      </c>
      <c r="B134" s="926"/>
      <c r="C134" s="359">
        <v>15</v>
      </c>
      <c r="D134" s="359">
        <v>0.1</v>
      </c>
      <c r="E134" s="359">
        <f>D134*C134</f>
        <v>1.5</v>
      </c>
      <c r="F134" s="224" t="s">
        <v>119</v>
      </c>
      <c r="G134" s="360" t="s">
        <v>239</v>
      </c>
    </row>
    <row r="135" spans="1:7">
      <c r="A135" s="363"/>
      <c r="B135" s="364"/>
      <c r="C135" s="359"/>
      <c r="D135" s="359"/>
      <c r="E135" s="359"/>
      <c r="F135" s="224"/>
      <c r="G135" s="360"/>
    </row>
    <row r="136" spans="1:7">
      <c r="A136" s="914" t="s">
        <v>287</v>
      </c>
      <c r="B136" s="915"/>
      <c r="C136" s="915"/>
      <c r="D136" s="915"/>
      <c r="E136" s="915"/>
      <c r="F136" s="915"/>
      <c r="G136" s="916"/>
    </row>
    <row r="137" spans="1:7">
      <c r="A137" s="927" t="s">
        <v>312</v>
      </c>
      <c r="B137" s="928"/>
      <c r="C137" s="365" t="s">
        <v>239</v>
      </c>
      <c r="D137" s="365" t="s">
        <v>239</v>
      </c>
      <c r="E137" s="366">
        <f>3.89*1</f>
        <v>3.89</v>
      </c>
      <c r="F137" s="367" t="s">
        <v>289</v>
      </c>
      <c r="G137" s="360" t="s">
        <v>239</v>
      </c>
    </row>
    <row r="138" spans="1:7">
      <c r="A138" s="368" t="s">
        <v>502</v>
      </c>
      <c r="B138" s="369"/>
      <c r="C138" s="359">
        <v>3.5</v>
      </c>
      <c r="D138" s="359">
        <v>0.4</v>
      </c>
      <c r="E138" s="359">
        <f>D138*C138</f>
        <v>1.4000000000000001</v>
      </c>
      <c r="F138" s="224" t="s">
        <v>290</v>
      </c>
      <c r="G138" s="360" t="s">
        <v>239</v>
      </c>
    </row>
    <row r="139" spans="1:7">
      <c r="A139" s="922"/>
      <c r="B139" s="929"/>
      <c r="C139" s="929"/>
      <c r="D139" s="929"/>
      <c r="E139" s="929"/>
      <c r="F139" s="929"/>
      <c r="G139" s="930"/>
    </row>
    <row r="140" spans="1:7">
      <c r="A140" s="911" t="s">
        <v>333</v>
      </c>
      <c r="B140" s="912"/>
      <c r="C140" s="912"/>
      <c r="D140" s="912"/>
      <c r="E140" s="912"/>
      <c r="F140" s="912"/>
      <c r="G140" s="913"/>
    </row>
    <row r="141" spans="1:7">
      <c r="A141" s="914" t="s">
        <v>282</v>
      </c>
      <c r="B141" s="915"/>
      <c r="C141" s="915"/>
      <c r="D141" s="915"/>
      <c r="E141" s="915"/>
      <c r="F141" s="915"/>
      <c r="G141" s="916"/>
    </row>
    <row r="142" spans="1:7">
      <c r="A142" s="357" t="s">
        <v>283</v>
      </c>
      <c r="B142" s="358"/>
      <c r="C142" s="359">
        <f>111.91+70.11+194.61</f>
        <v>376.63</v>
      </c>
      <c r="D142" s="359">
        <v>0.1</v>
      </c>
      <c r="E142" s="359">
        <f>D142*C142</f>
        <v>37.663000000000004</v>
      </c>
      <c r="F142" s="224" t="s">
        <v>119</v>
      </c>
      <c r="G142" s="360" t="s">
        <v>239</v>
      </c>
    </row>
    <row r="143" spans="1:7">
      <c r="A143" s="922"/>
      <c r="B143" s="923"/>
      <c r="C143" s="361"/>
      <c r="D143" s="359"/>
      <c r="E143" s="359"/>
      <c r="F143" s="224"/>
      <c r="G143" s="362"/>
    </row>
    <row r="144" spans="1:7">
      <c r="A144" s="914" t="s">
        <v>284</v>
      </c>
      <c r="B144" s="915"/>
      <c r="C144" s="915"/>
      <c r="D144" s="915"/>
      <c r="E144" s="915"/>
      <c r="F144" s="915"/>
      <c r="G144" s="916"/>
    </row>
    <row r="145" spans="1:8">
      <c r="A145" s="917" t="s">
        <v>285</v>
      </c>
      <c r="B145" s="918"/>
      <c r="C145" s="359">
        <v>153.27000000000001</v>
      </c>
      <c r="D145" s="359">
        <v>0.1</v>
      </c>
      <c r="E145" s="359">
        <f>((C145*2)/6)*D145</f>
        <v>5.1090000000000009</v>
      </c>
      <c r="F145" s="224" t="s">
        <v>118</v>
      </c>
      <c r="G145" s="360" t="s">
        <v>239</v>
      </c>
    </row>
    <row r="146" spans="1:8">
      <c r="A146" s="925" t="s">
        <v>286</v>
      </c>
      <c r="B146" s="926"/>
      <c r="C146" s="359">
        <v>30</v>
      </c>
      <c r="D146" s="359">
        <v>0.1</v>
      </c>
      <c r="E146" s="359">
        <f>D146*C146</f>
        <v>3</v>
      </c>
      <c r="F146" s="224" t="s">
        <v>119</v>
      </c>
      <c r="G146" s="360" t="s">
        <v>239</v>
      </c>
    </row>
    <row r="147" spans="1:8">
      <c r="A147" s="363"/>
      <c r="B147" s="364"/>
      <c r="C147" s="359"/>
      <c r="D147" s="359"/>
      <c r="E147" s="359"/>
      <c r="F147" s="224"/>
      <c r="G147" s="360"/>
    </row>
    <row r="148" spans="1:8">
      <c r="A148" s="914" t="s">
        <v>287</v>
      </c>
      <c r="B148" s="915"/>
      <c r="C148" s="915"/>
      <c r="D148" s="915"/>
      <c r="E148" s="915"/>
      <c r="F148" s="915"/>
      <c r="G148" s="916"/>
    </row>
    <row r="149" spans="1:8">
      <c r="A149" s="927" t="s">
        <v>288</v>
      </c>
      <c r="B149" s="928"/>
      <c r="C149" s="365" t="s">
        <v>239</v>
      </c>
      <c r="D149" s="365" t="s">
        <v>239</v>
      </c>
      <c r="E149" s="366">
        <f>3.89*2</f>
        <v>7.78</v>
      </c>
      <c r="F149" s="367" t="s">
        <v>289</v>
      </c>
      <c r="G149" s="360" t="s">
        <v>239</v>
      </c>
    </row>
    <row r="150" spans="1:8">
      <c r="A150" s="368" t="s">
        <v>503</v>
      </c>
      <c r="B150" s="369"/>
      <c r="C150" s="359">
        <v>3.5</v>
      </c>
      <c r="D150" s="359">
        <v>0.4</v>
      </c>
      <c r="E150" s="359">
        <f>D150*C150</f>
        <v>1.4000000000000001</v>
      </c>
      <c r="F150" s="224" t="s">
        <v>290</v>
      </c>
      <c r="G150" s="360" t="s">
        <v>239</v>
      </c>
    </row>
    <row r="151" spans="1:8">
      <c r="A151" s="368" t="s">
        <v>504</v>
      </c>
      <c r="B151" s="369"/>
      <c r="C151" s="359">
        <v>3.5</v>
      </c>
      <c r="D151" s="359">
        <v>0.4</v>
      </c>
      <c r="E151" s="359">
        <f>D151*C151</f>
        <v>1.4000000000000001</v>
      </c>
      <c r="F151" s="224" t="s">
        <v>290</v>
      </c>
      <c r="G151" s="360" t="s">
        <v>239</v>
      </c>
    </row>
    <row r="152" spans="1:8">
      <c r="A152" s="922"/>
      <c r="B152" s="929"/>
      <c r="C152" s="929"/>
      <c r="D152" s="929"/>
      <c r="E152" s="929"/>
      <c r="F152" s="929"/>
      <c r="G152" s="930"/>
    </row>
    <row r="153" spans="1:8" s="55" customFormat="1">
      <c r="A153" s="911" t="s">
        <v>330</v>
      </c>
      <c r="B153" s="912"/>
      <c r="C153" s="912"/>
      <c r="D153" s="912"/>
      <c r="E153" s="912"/>
      <c r="F153" s="912"/>
      <c r="G153" s="913"/>
      <c r="H153" s="44"/>
    </row>
    <row r="154" spans="1:8" s="55" customFormat="1">
      <c r="A154" s="914" t="s">
        <v>282</v>
      </c>
      <c r="B154" s="915"/>
      <c r="C154" s="915"/>
      <c r="D154" s="915"/>
      <c r="E154" s="915"/>
      <c r="F154" s="915"/>
      <c r="G154" s="916"/>
      <c r="H154" s="44"/>
    </row>
    <row r="155" spans="1:8" s="55" customFormat="1">
      <c r="A155" s="357" t="s">
        <v>283</v>
      </c>
      <c r="B155" s="358"/>
      <c r="C155" s="359">
        <f>66.82+198.77+273.33</f>
        <v>538.92000000000007</v>
      </c>
      <c r="D155" s="359">
        <v>0.1</v>
      </c>
      <c r="E155" s="359">
        <f>D155*C155</f>
        <v>53.89200000000001</v>
      </c>
      <c r="F155" s="224" t="s">
        <v>119</v>
      </c>
      <c r="G155" s="360" t="s">
        <v>239</v>
      </c>
      <c r="H155" s="44"/>
    </row>
    <row r="156" spans="1:8" s="55" customFormat="1">
      <c r="A156" s="922"/>
      <c r="B156" s="923"/>
      <c r="C156" s="361"/>
      <c r="D156" s="359"/>
      <c r="E156" s="359"/>
      <c r="F156" s="224"/>
      <c r="G156" s="362"/>
      <c r="H156" s="44"/>
    </row>
    <row r="157" spans="1:8" s="55" customFormat="1">
      <c r="A157" s="914" t="s">
        <v>284</v>
      </c>
      <c r="B157" s="915"/>
      <c r="C157" s="915"/>
      <c r="D157" s="915"/>
      <c r="E157" s="915"/>
      <c r="F157" s="915"/>
      <c r="G157" s="916"/>
      <c r="H157" s="44"/>
    </row>
    <row r="158" spans="1:8" s="55" customFormat="1">
      <c r="A158" s="917" t="s">
        <v>285</v>
      </c>
      <c r="B158" s="918"/>
      <c r="C158" s="359">
        <v>229.89</v>
      </c>
      <c r="D158" s="359">
        <v>0.1</v>
      </c>
      <c r="E158" s="359">
        <f>((C158*2)/6)*D158</f>
        <v>7.6630000000000003</v>
      </c>
      <c r="F158" s="224" t="s">
        <v>118</v>
      </c>
      <c r="G158" s="360" t="s">
        <v>239</v>
      </c>
      <c r="H158" s="44"/>
    </row>
    <row r="159" spans="1:8" s="55" customFormat="1">
      <c r="A159" s="925" t="s">
        <v>286</v>
      </c>
      <c r="B159" s="926"/>
      <c r="C159" s="359">
        <v>30</v>
      </c>
      <c r="D159" s="359">
        <v>0.1</v>
      </c>
      <c r="E159" s="359">
        <f>D159*C159</f>
        <v>3</v>
      </c>
      <c r="F159" s="224" t="s">
        <v>119</v>
      </c>
      <c r="G159" s="360" t="s">
        <v>239</v>
      </c>
      <c r="H159" s="44"/>
    </row>
    <row r="160" spans="1:8" s="55" customFormat="1">
      <c r="A160" s="363"/>
      <c r="B160" s="364"/>
      <c r="C160" s="359"/>
      <c r="D160" s="359"/>
      <c r="E160" s="359"/>
      <c r="F160" s="224"/>
      <c r="G160" s="360"/>
      <c r="H160" s="44"/>
    </row>
    <row r="161" spans="1:8" s="55" customFormat="1">
      <c r="A161" s="914" t="s">
        <v>287</v>
      </c>
      <c r="B161" s="915"/>
      <c r="C161" s="915"/>
      <c r="D161" s="915"/>
      <c r="E161" s="915"/>
      <c r="F161" s="915"/>
      <c r="G161" s="916"/>
      <c r="H161" s="44"/>
    </row>
    <row r="162" spans="1:8" s="55" customFormat="1">
      <c r="A162" s="927" t="s">
        <v>288</v>
      </c>
      <c r="B162" s="928"/>
      <c r="C162" s="365" t="s">
        <v>239</v>
      </c>
      <c r="D162" s="365" t="s">
        <v>239</v>
      </c>
      <c r="E162" s="366">
        <f>3.89*2</f>
        <v>7.78</v>
      </c>
      <c r="F162" s="367" t="s">
        <v>289</v>
      </c>
      <c r="G162" s="360" t="s">
        <v>239</v>
      </c>
      <c r="H162" s="44"/>
    </row>
    <row r="163" spans="1:8" s="55" customFormat="1">
      <c r="A163" s="368" t="s">
        <v>496</v>
      </c>
      <c r="B163" s="369"/>
      <c r="C163" s="359">
        <v>3.5</v>
      </c>
      <c r="D163" s="359">
        <v>0.4</v>
      </c>
      <c r="E163" s="359">
        <f>D163*C163</f>
        <v>1.4000000000000001</v>
      </c>
      <c r="F163" s="224" t="s">
        <v>290</v>
      </c>
      <c r="G163" s="360" t="s">
        <v>239</v>
      </c>
      <c r="H163" s="44"/>
    </row>
    <row r="164" spans="1:8" s="55" customFormat="1">
      <c r="A164" s="368" t="s">
        <v>505</v>
      </c>
      <c r="B164" s="369"/>
      <c r="C164" s="359">
        <v>4</v>
      </c>
      <c r="D164" s="359">
        <v>0.4</v>
      </c>
      <c r="E164" s="359">
        <f>D164*C164</f>
        <v>1.6</v>
      </c>
      <c r="F164" s="224" t="s">
        <v>290</v>
      </c>
      <c r="G164" s="360" t="s">
        <v>239</v>
      </c>
      <c r="H164" s="44"/>
    </row>
    <row r="165" spans="1:8">
      <c r="A165" s="922"/>
      <c r="B165" s="929"/>
      <c r="C165" s="929"/>
      <c r="D165" s="929"/>
      <c r="E165" s="929"/>
      <c r="F165" s="929"/>
      <c r="G165" s="930"/>
    </row>
    <row r="166" spans="1:8">
      <c r="A166" s="911" t="s">
        <v>336</v>
      </c>
      <c r="B166" s="912"/>
      <c r="C166" s="912"/>
      <c r="D166" s="912"/>
      <c r="E166" s="912"/>
      <c r="F166" s="912"/>
      <c r="G166" s="913"/>
    </row>
    <row r="167" spans="1:8">
      <c r="A167" s="914" t="s">
        <v>282</v>
      </c>
      <c r="B167" s="915"/>
      <c r="C167" s="915"/>
      <c r="D167" s="915"/>
      <c r="E167" s="915"/>
      <c r="F167" s="915"/>
      <c r="G167" s="916"/>
    </row>
    <row r="168" spans="1:8">
      <c r="A168" s="357" t="s">
        <v>283</v>
      </c>
      <c r="B168" s="358"/>
      <c r="C168" s="359">
        <f>271.11+271.55</f>
        <v>542.66000000000008</v>
      </c>
      <c r="D168" s="359">
        <v>0.1</v>
      </c>
      <c r="E168" s="359">
        <f>D168*C168</f>
        <v>54.266000000000012</v>
      </c>
      <c r="F168" s="224" t="s">
        <v>119</v>
      </c>
      <c r="G168" s="360" t="s">
        <v>239</v>
      </c>
    </row>
    <row r="169" spans="1:8">
      <c r="A169" s="922"/>
      <c r="B169" s="923"/>
      <c r="C169" s="361"/>
      <c r="D169" s="359"/>
      <c r="E169" s="359"/>
      <c r="F169" s="224"/>
      <c r="G169" s="362"/>
    </row>
    <row r="170" spans="1:8">
      <c r="A170" s="914" t="s">
        <v>284</v>
      </c>
      <c r="B170" s="915"/>
      <c r="C170" s="915"/>
      <c r="D170" s="915"/>
      <c r="E170" s="915"/>
      <c r="F170" s="915"/>
      <c r="G170" s="916"/>
    </row>
    <row r="171" spans="1:8">
      <c r="A171" s="917" t="s">
        <v>285</v>
      </c>
      <c r="B171" s="918"/>
      <c r="C171" s="359">
        <f>229.54</f>
        <v>229.54</v>
      </c>
      <c r="D171" s="359">
        <v>0.1</v>
      </c>
      <c r="E171" s="359">
        <f>((C171*2)/6)*D171</f>
        <v>7.6513333333333335</v>
      </c>
      <c r="F171" s="224" t="s">
        <v>118</v>
      </c>
      <c r="G171" s="360" t="s">
        <v>239</v>
      </c>
    </row>
    <row r="172" spans="1:8">
      <c r="A172" s="925" t="s">
        <v>286</v>
      </c>
      <c r="B172" s="926"/>
      <c r="C172" s="359">
        <v>30</v>
      </c>
      <c r="D172" s="359">
        <v>0.1</v>
      </c>
      <c r="E172" s="359">
        <f>D172*C172</f>
        <v>3</v>
      </c>
      <c r="F172" s="224" t="s">
        <v>119</v>
      </c>
      <c r="G172" s="360" t="s">
        <v>239</v>
      </c>
    </row>
    <row r="173" spans="1:8">
      <c r="A173" s="363"/>
      <c r="B173" s="364"/>
      <c r="C173" s="359"/>
      <c r="D173" s="359"/>
      <c r="E173" s="359"/>
      <c r="F173" s="224"/>
      <c r="G173" s="360"/>
    </row>
    <row r="174" spans="1:8">
      <c r="A174" s="914" t="s">
        <v>287</v>
      </c>
      <c r="B174" s="915"/>
      <c r="C174" s="915"/>
      <c r="D174" s="915"/>
      <c r="E174" s="915"/>
      <c r="F174" s="915"/>
      <c r="G174" s="916"/>
    </row>
    <row r="175" spans="1:8">
      <c r="A175" s="927" t="s">
        <v>288</v>
      </c>
      <c r="B175" s="928"/>
      <c r="C175" s="365" t="s">
        <v>239</v>
      </c>
      <c r="D175" s="365" t="s">
        <v>239</v>
      </c>
      <c r="E175" s="366">
        <f>3.89*2</f>
        <v>7.78</v>
      </c>
      <c r="F175" s="367" t="s">
        <v>289</v>
      </c>
      <c r="G175" s="360" t="s">
        <v>239</v>
      </c>
    </row>
    <row r="176" spans="1:8">
      <c r="A176" s="368" t="s">
        <v>496</v>
      </c>
      <c r="B176" s="369"/>
      <c r="C176" s="359">
        <v>3.5</v>
      </c>
      <c r="D176" s="359">
        <v>0.4</v>
      </c>
      <c r="E176" s="359">
        <f>D176*C176</f>
        <v>1.4000000000000001</v>
      </c>
      <c r="F176" s="224" t="s">
        <v>290</v>
      </c>
      <c r="G176" s="360" t="s">
        <v>239</v>
      </c>
    </row>
    <row r="177" spans="1:7">
      <c r="A177" s="368" t="s">
        <v>506</v>
      </c>
      <c r="B177" s="369"/>
      <c r="C177" s="359">
        <v>4</v>
      </c>
      <c r="D177" s="359">
        <v>0.4</v>
      </c>
      <c r="E177" s="359">
        <f>D177*C177</f>
        <v>1.6</v>
      </c>
      <c r="F177" s="224" t="s">
        <v>290</v>
      </c>
      <c r="G177" s="360" t="s">
        <v>239</v>
      </c>
    </row>
    <row r="178" spans="1:7">
      <c r="A178" s="922"/>
      <c r="B178" s="929"/>
      <c r="C178" s="929"/>
      <c r="D178" s="929"/>
      <c r="E178" s="929"/>
      <c r="F178" s="929"/>
      <c r="G178" s="930"/>
    </row>
    <row r="179" spans="1:7">
      <c r="A179" s="911" t="s">
        <v>340</v>
      </c>
      <c r="B179" s="912"/>
      <c r="C179" s="912"/>
      <c r="D179" s="912"/>
      <c r="E179" s="912"/>
      <c r="F179" s="912"/>
      <c r="G179" s="913"/>
    </row>
    <row r="180" spans="1:7">
      <c r="A180" s="914" t="s">
        <v>282</v>
      </c>
      <c r="B180" s="915"/>
      <c r="C180" s="915"/>
      <c r="D180" s="915"/>
      <c r="E180" s="915"/>
      <c r="F180" s="915"/>
      <c r="G180" s="916"/>
    </row>
    <row r="181" spans="1:7">
      <c r="A181" s="357" t="s">
        <v>283</v>
      </c>
      <c r="B181" s="358"/>
      <c r="C181" s="359">
        <f>115.41+96.67</f>
        <v>212.07999999999998</v>
      </c>
      <c r="D181" s="359">
        <v>0.1</v>
      </c>
      <c r="E181" s="359">
        <f>D181*C181</f>
        <v>21.207999999999998</v>
      </c>
      <c r="F181" s="224" t="s">
        <v>119</v>
      </c>
      <c r="G181" s="360" t="s">
        <v>239</v>
      </c>
    </row>
    <row r="182" spans="1:7">
      <c r="A182" s="922"/>
      <c r="B182" s="923"/>
      <c r="C182" s="361"/>
      <c r="D182" s="359"/>
      <c r="E182" s="359"/>
      <c r="F182" s="224"/>
      <c r="G182" s="362"/>
    </row>
    <row r="183" spans="1:7">
      <c r="A183" s="914" t="s">
        <v>284</v>
      </c>
      <c r="B183" s="915"/>
      <c r="C183" s="915"/>
      <c r="D183" s="915"/>
      <c r="E183" s="915"/>
      <c r="F183" s="915"/>
      <c r="G183" s="916"/>
    </row>
    <row r="184" spans="1:7">
      <c r="A184" s="917" t="s">
        <v>285</v>
      </c>
      <c r="B184" s="918"/>
      <c r="C184" s="359">
        <f>64.59</f>
        <v>64.59</v>
      </c>
      <c r="D184" s="359">
        <v>0.1</v>
      </c>
      <c r="E184" s="359">
        <f>((C184*2)/6)*D184</f>
        <v>2.153</v>
      </c>
      <c r="F184" s="224" t="s">
        <v>118</v>
      </c>
      <c r="G184" s="360" t="s">
        <v>239</v>
      </c>
    </row>
    <row r="185" spans="1:7">
      <c r="A185" s="925" t="s">
        <v>286</v>
      </c>
      <c r="B185" s="926"/>
      <c r="C185" s="359">
        <v>30</v>
      </c>
      <c r="D185" s="359">
        <v>0.1</v>
      </c>
      <c r="E185" s="359">
        <f>D185*C185</f>
        <v>3</v>
      </c>
      <c r="F185" s="224" t="s">
        <v>119</v>
      </c>
      <c r="G185" s="360" t="s">
        <v>239</v>
      </c>
    </row>
    <row r="186" spans="1:7">
      <c r="A186" s="363"/>
      <c r="B186" s="364"/>
      <c r="C186" s="359"/>
      <c r="D186" s="359"/>
      <c r="E186" s="359"/>
      <c r="F186" s="224"/>
      <c r="G186" s="360"/>
    </row>
    <row r="187" spans="1:7">
      <c r="A187" s="914" t="s">
        <v>287</v>
      </c>
      <c r="B187" s="915"/>
      <c r="C187" s="915"/>
      <c r="D187" s="915"/>
      <c r="E187" s="915"/>
      <c r="F187" s="915"/>
      <c r="G187" s="916"/>
    </row>
    <row r="188" spans="1:7">
      <c r="A188" s="927" t="s">
        <v>288</v>
      </c>
      <c r="B188" s="928"/>
      <c r="C188" s="365" t="s">
        <v>239</v>
      </c>
      <c r="D188" s="365" t="s">
        <v>239</v>
      </c>
      <c r="E188" s="366">
        <f>3.89*2</f>
        <v>7.78</v>
      </c>
      <c r="F188" s="367" t="s">
        <v>289</v>
      </c>
      <c r="G188" s="360" t="s">
        <v>239</v>
      </c>
    </row>
    <row r="189" spans="1:7">
      <c r="A189" s="368" t="s">
        <v>507</v>
      </c>
      <c r="B189" s="369"/>
      <c r="C189" s="359">
        <v>5</v>
      </c>
      <c r="D189" s="359">
        <v>0.4</v>
      </c>
      <c r="E189" s="359">
        <f>D189*C189</f>
        <v>2</v>
      </c>
      <c r="F189" s="224" t="s">
        <v>290</v>
      </c>
      <c r="G189" s="360" t="s">
        <v>239</v>
      </c>
    </row>
    <row r="190" spans="1:7">
      <c r="A190" s="368" t="s">
        <v>508</v>
      </c>
      <c r="B190" s="369"/>
      <c r="C190" s="359">
        <v>5</v>
      </c>
      <c r="D190" s="359">
        <v>0.4</v>
      </c>
      <c r="E190" s="359">
        <f>D190*C190</f>
        <v>2</v>
      </c>
      <c r="F190" s="224" t="s">
        <v>290</v>
      </c>
      <c r="G190" s="360" t="s">
        <v>239</v>
      </c>
    </row>
    <row r="191" spans="1:7">
      <c r="A191" s="922"/>
      <c r="B191" s="929"/>
      <c r="C191" s="929"/>
      <c r="D191" s="929"/>
      <c r="E191" s="929"/>
      <c r="F191" s="929"/>
      <c r="G191" s="930"/>
    </row>
    <row r="192" spans="1:7">
      <c r="A192" s="911" t="s">
        <v>337</v>
      </c>
      <c r="B192" s="912"/>
      <c r="C192" s="912"/>
      <c r="D192" s="912"/>
      <c r="E192" s="912"/>
      <c r="F192" s="912"/>
      <c r="G192" s="913"/>
    </row>
    <row r="193" spans="1:7">
      <c r="A193" s="914" t="s">
        <v>282</v>
      </c>
      <c r="B193" s="915"/>
      <c r="C193" s="915"/>
      <c r="D193" s="915"/>
      <c r="E193" s="915"/>
      <c r="F193" s="915"/>
      <c r="G193" s="916"/>
    </row>
    <row r="194" spans="1:7">
      <c r="A194" s="357" t="s">
        <v>283</v>
      </c>
      <c r="B194" s="358"/>
      <c r="C194" s="359">
        <f>128.59+68.8+282.87+65.37</f>
        <v>545.63</v>
      </c>
      <c r="D194" s="359">
        <v>0.1</v>
      </c>
      <c r="E194" s="359">
        <f>D194*C194</f>
        <v>54.563000000000002</v>
      </c>
      <c r="F194" s="224" t="s">
        <v>119</v>
      </c>
      <c r="G194" s="360" t="s">
        <v>239</v>
      </c>
    </row>
    <row r="195" spans="1:7">
      <c r="A195" s="922"/>
      <c r="B195" s="923"/>
      <c r="C195" s="361"/>
      <c r="D195" s="359"/>
      <c r="E195" s="359"/>
      <c r="F195" s="224"/>
      <c r="G195" s="362"/>
    </row>
    <row r="196" spans="1:7">
      <c r="A196" s="914" t="s">
        <v>284</v>
      </c>
      <c r="B196" s="915"/>
      <c r="C196" s="915"/>
      <c r="D196" s="915"/>
      <c r="E196" s="915"/>
      <c r="F196" s="915"/>
      <c r="G196" s="916"/>
    </row>
    <row r="197" spans="1:7">
      <c r="A197" s="917" t="s">
        <v>285</v>
      </c>
      <c r="B197" s="918"/>
      <c r="C197" s="359">
        <v>261.91000000000003</v>
      </c>
      <c r="D197" s="359">
        <v>0.1</v>
      </c>
      <c r="E197" s="359">
        <f>((C197*2)/6)*D197</f>
        <v>8.7303333333333342</v>
      </c>
      <c r="F197" s="224" t="s">
        <v>118</v>
      </c>
      <c r="G197" s="360" t="s">
        <v>239</v>
      </c>
    </row>
    <row r="198" spans="1:7">
      <c r="A198" s="925" t="s">
        <v>286</v>
      </c>
      <c r="B198" s="926"/>
      <c r="C198" s="359">
        <v>15</v>
      </c>
      <c r="D198" s="359">
        <v>0.1</v>
      </c>
      <c r="E198" s="359">
        <f>D198*C198</f>
        <v>1.5</v>
      </c>
      <c r="F198" s="224" t="s">
        <v>119</v>
      </c>
      <c r="G198" s="360" t="s">
        <v>239</v>
      </c>
    </row>
    <row r="199" spans="1:7">
      <c r="A199" s="363"/>
      <c r="B199" s="364"/>
      <c r="C199" s="359"/>
      <c r="D199" s="359"/>
      <c r="E199" s="359"/>
      <c r="F199" s="224"/>
      <c r="G199" s="360"/>
    </row>
    <row r="200" spans="1:7">
      <c r="A200" s="914" t="s">
        <v>287</v>
      </c>
      <c r="B200" s="915"/>
      <c r="C200" s="915"/>
      <c r="D200" s="915"/>
      <c r="E200" s="915"/>
      <c r="F200" s="915"/>
      <c r="G200" s="916"/>
    </row>
    <row r="201" spans="1:7">
      <c r="A201" s="927" t="s">
        <v>312</v>
      </c>
      <c r="B201" s="928"/>
      <c r="C201" s="365" t="s">
        <v>239</v>
      </c>
      <c r="D201" s="365" t="s">
        <v>239</v>
      </c>
      <c r="E201" s="366">
        <f>3.89</f>
        <v>3.89</v>
      </c>
      <c r="F201" s="367" t="s">
        <v>289</v>
      </c>
      <c r="G201" s="360" t="s">
        <v>239</v>
      </c>
    </row>
    <row r="202" spans="1:7">
      <c r="A202" s="368" t="s">
        <v>509</v>
      </c>
      <c r="B202" s="369"/>
      <c r="C202" s="359">
        <v>4</v>
      </c>
      <c r="D202" s="359">
        <v>0.4</v>
      </c>
      <c r="E202" s="359">
        <f>D202*C202</f>
        <v>1.6</v>
      </c>
      <c r="F202" s="224" t="s">
        <v>290</v>
      </c>
      <c r="G202" s="360" t="s">
        <v>239</v>
      </c>
    </row>
    <row r="203" spans="1:7">
      <c r="A203" s="922"/>
      <c r="B203" s="929"/>
      <c r="C203" s="929"/>
      <c r="D203" s="929"/>
      <c r="E203" s="929"/>
      <c r="F203" s="929"/>
      <c r="G203" s="930"/>
    </row>
    <row r="204" spans="1:7">
      <c r="A204" s="911" t="s">
        <v>339</v>
      </c>
      <c r="B204" s="912"/>
      <c r="C204" s="912"/>
      <c r="D204" s="912"/>
      <c r="E204" s="912"/>
      <c r="F204" s="912"/>
      <c r="G204" s="913"/>
    </row>
    <row r="205" spans="1:7">
      <c r="A205" s="914" t="s">
        <v>282</v>
      </c>
      <c r="B205" s="915"/>
      <c r="C205" s="915"/>
      <c r="D205" s="915"/>
      <c r="E205" s="915"/>
      <c r="F205" s="915"/>
      <c r="G205" s="916"/>
    </row>
    <row r="206" spans="1:7">
      <c r="A206" s="357" t="s">
        <v>283</v>
      </c>
      <c r="B206" s="358"/>
      <c r="C206" s="370">
        <f>369.94+65.31+67.14+528.38</f>
        <v>1030.77</v>
      </c>
      <c r="D206" s="359">
        <v>0.1</v>
      </c>
      <c r="E206" s="359">
        <f>D206*C206</f>
        <v>103.077</v>
      </c>
      <c r="F206" s="224" t="s">
        <v>119</v>
      </c>
      <c r="G206" s="360" t="s">
        <v>239</v>
      </c>
    </row>
    <row r="207" spans="1:7">
      <c r="A207" s="922"/>
      <c r="B207" s="923"/>
      <c r="C207" s="361"/>
      <c r="D207" s="359"/>
      <c r="E207" s="359"/>
      <c r="F207" s="224"/>
      <c r="G207" s="362"/>
    </row>
    <row r="208" spans="1:7">
      <c r="A208" s="914" t="s">
        <v>284</v>
      </c>
      <c r="B208" s="915"/>
      <c r="C208" s="915"/>
      <c r="D208" s="915"/>
      <c r="E208" s="915"/>
      <c r="F208" s="915"/>
      <c r="G208" s="916"/>
    </row>
    <row r="209" spans="1:8">
      <c r="A209" s="917" t="s">
        <v>285</v>
      </c>
      <c r="B209" s="918"/>
      <c r="C209" s="359">
        <f>496.13</f>
        <v>496.13</v>
      </c>
      <c r="D209" s="359">
        <v>0.1</v>
      </c>
      <c r="E209" s="359">
        <f>((C209*2)/6)*D209</f>
        <v>16.537666666666667</v>
      </c>
      <c r="F209" s="224" t="s">
        <v>118</v>
      </c>
      <c r="G209" s="360" t="s">
        <v>239</v>
      </c>
    </row>
    <row r="210" spans="1:8">
      <c r="A210" s="925" t="s">
        <v>286</v>
      </c>
      <c r="B210" s="926"/>
      <c r="C210" s="359">
        <v>15</v>
      </c>
      <c r="D210" s="359">
        <v>0.1</v>
      </c>
      <c r="E210" s="359">
        <f>D210*C210</f>
        <v>1.5</v>
      </c>
      <c r="F210" s="224" t="s">
        <v>119</v>
      </c>
      <c r="G210" s="360" t="s">
        <v>239</v>
      </c>
    </row>
    <row r="211" spans="1:8">
      <c r="A211" s="363"/>
      <c r="B211" s="364"/>
      <c r="C211" s="359"/>
      <c r="D211" s="359"/>
      <c r="E211" s="359"/>
      <c r="F211" s="224"/>
      <c r="G211" s="360"/>
    </row>
    <row r="212" spans="1:8">
      <c r="A212" s="914" t="s">
        <v>287</v>
      </c>
      <c r="B212" s="915"/>
      <c r="C212" s="915"/>
      <c r="D212" s="915"/>
      <c r="E212" s="915"/>
      <c r="F212" s="915"/>
      <c r="G212" s="916"/>
    </row>
    <row r="213" spans="1:8">
      <c r="A213" s="927" t="s">
        <v>510</v>
      </c>
      <c r="B213" s="928"/>
      <c r="C213" s="365" t="s">
        <v>239</v>
      </c>
      <c r="D213" s="365" t="s">
        <v>239</v>
      </c>
      <c r="E213" s="366">
        <f>3.89</f>
        <v>3.89</v>
      </c>
      <c r="F213" s="367" t="s">
        <v>289</v>
      </c>
      <c r="G213" s="360" t="s">
        <v>239</v>
      </c>
    </row>
    <row r="214" spans="1:8">
      <c r="A214" s="368" t="s">
        <v>511</v>
      </c>
      <c r="B214" s="369"/>
      <c r="C214" s="359">
        <v>3.5</v>
      </c>
      <c r="D214" s="359">
        <v>0.4</v>
      </c>
      <c r="E214" s="359">
        <f>D214*C214</f>
        <v>1.4000000000000001</v>
      </c>
      <c r="F214" s="224" t="s">
        <v>290</v>
      </c>
      <c r="G214" s="360" t="s">
        <v>239</v>
      </c>
    </row>
    <row r="215" spans="1:8" ht="13.5" thickBot="1">
      <c r="A215" s="922"/>
      <c r="B215" s="929"/>
      <c r="C215" s="929"/>
      <c r="D215" s="929"/>
      <c r="E215" s="929"/>
      <c r="F215" s="929"/>
      <c r="G215" s="930"/>
    </row>
    <row r="216" spans="1:8" ht="16.5" thickBot="1">
      <c r="A216" s="934" t="s">
        <v>512</v>
      </c>
      <c r="B216" s="935"/>
      <c r="C216" s="935"/>
      <c r="D216" s="935"/>
      <c r="E216" s="935"/>
      <c r="F216" s="935"/>
      <c r="G216" s="936"/>
    </row>
    <row r="217" spans="1:8" s="66" customFormat="1" ht="15" customHeight="1">
      <c r="A217" s="937" t="s">
        <v>513</v>
      </c>
      <c r="B217" s="938"/>
      <c r="C217" s="938"/>
      <c r="D217" s="371" t="s">
        <v>239</v>
      </c>
      <c r="E217" s="372">
        <f>E7+E113+E97+E84+E71+E58+E45+E20+E33+E130+E142+E155+E168+E181+E194+E206</f>
        <v>918.26053000000013</v>
      </c>
      <c r="F217" s="371" t="s">
        <v>239</v>
      </c>
      <c r="G217" s="373" t="s">
        <v>239</v>
      </c>
      <c r="H217" s="44"/>
    </row>
    <row r="218" spans="1:8" s="66" customFormat="1" ht="15" customHeight="1">
      <c r="A218" s="939" t="s">
        <v>514</v>
      </c>
      <c r="B218" s="940"/>
      <c r="C218" s="940"/>
      <c r="D218" s="374" t="s">
        <v>239</v>
      </c>
      <c r="E218" s="375">
        <f>E11+E117+E101+E88+E75+E62+E49+E24+E37+E134+E146+E159+E172+E185+E198+E210</f>
        <v>49.5</v>
      </c>
      <c r="F218" s="374" t="s">
        <v>239</v>
      </c>
      <c r="G218" s="360" t="s">
        <v>239</v>
      </c>
      <c r="H218" s="44"/>
    </row>
    <row r="219" spans="1:8" s="66" customFormat="1" ht="15" customHeight="1">
      <c r="A219" s="939" t="s">
        <v>515</v>
      </c>
      <c r="B219" s="940"/>
      <c r="C219" s="940"/>
      <c r="D219" s="374" t="s">
        <v>239</v>
      </c>
      <c r="E219" s="375">
        <f>E10+E116+E100+E87+E74+E61+E48+E23+E36+E133+E145+E158+E171+E184+E197+E209</f>
        <v>129.80159666666668</v>
      </c>
      <c r="F219" s="374" t="s">
        <v>239</v>
      </c>
      <c r="G219" s="360" t="s">
        <v>239</v>
      </c>
      <c r="H219" s="44"/>
    </row>
    <row r="220" spans="1:8" s="66" customFormat="1" ht="15" customHeight="1">
      <c r="A220" s="939" t="s">
        <v>516</v>
      </c>
      <c r="B220" s="940"/>
      <c r="C220" s="940"/>
      <c r="D220" s="374" t="s">
        <v>239</v>
      </c>
      <c r="E220" s="375">
        <f>E15+E121+E106+E105+E92+E80+E79+E67+E54+E53+E122+E28+E66+E41+E138+E150+E151+E163+E164+E176+E177+E189+E190+E202+E214+E123+E124+E125+E126+E107+E108+E109+E93+E29+E16</f>
        <v>53.239999999999981</v>
      </c>
      <c r="F220" s="374" t="s">
        <v>239</v>
      </c>
      <c r="G220" s="360" t="s">
        <v>239</v>
      </c>
      <c r="H220" s="44"/>
    </row>
    <row r="221" spans="1:8" s="66" customFormat="1" ht="15" customHeight="1" thickBot="1">
      <c r="A221" s="422" t="s">
        <v>517</v>
      </c>
      <c r="B221" s="376"/>
      <c r="C221" s="377"/>
      <c r="D221" s="378" t="s">
        <v>239</v>
      </c>
      <c r="E221" s="421">
        <f>E14+E120+E104+E91+E78+E65+E52+E27+E40+E137+E149+E162+E175+E188+E201+E213</f>
        <v>136.14999999999998</v>
      </c>
      <c r="F221" s="378" t="s">
        <v>239</v>
      </c>
      <c r="G221" s="380" t="s">
        <v>239</v>
      </c>
      <c r="H221" s="44"/>
    </row>
    <row r="222" spans="1:8" s="66" customFormat="1" ht="15" customHeight="1">
      <c r="A222" s="931" t="s">
        <v>120</v>
      </c>
      <c r="B222" s="932"/>
      <c r="C222" s="933"/>
      <c r="D222" s="371" t="s">
        <v>239</v>
      </c>
      <c r="E222" s="372">
        <f>E220+E219+E218+E217</f>
        <v>1150.8021266666667</v>
      </c>
      <c r="F222" s="371" t="s">
        <v>239</v>
      </c>
      <c r="G222" s="373" t="s">
        <v>239</v>
      </c>
      <c r="H222" s="44"/>
    </row>
    <row r="223" spans="1:8" s="66" customFormat="1" ht="15" customHeight="1" thickBot="1">
      <c r="A223" s="427" t="s">
        <v>291</v>
      </c>
      <c r="B223" s="376"/>
      <c r="C223" s="377"/>
      <c r="D223" s="378" t="s">
        <v>239</v>
      </c>
      <c r="E223" s="428">
        <f>E221</f>
        <v>136.14999999999998</v>
      </c>
      <c r="F223" s="378" t="s">
        <v>239</v>
      </c>
      <c r="G223" s="380" t="s">
        <v>239</v>
      </c>
      <c r="H223" s="44"/>
    </row>
    <row r="224" spans="1:8" s="66" customFormat="1" ht="15" customHeight="1" thickBot="1">
      <c r="A224" s="423" t="s">
        <v>292</v>
      </c>
      <c r="B224" s="117"/>
      <c r="C224" s="424"/>
      <c r="D224" s="425" t="s">
        <v>239</v>
      </c>
      <c r="E224" s="379">
        <f>E223+E222</f>
        <v>1286.9521266666666</v>
      </c>
      <c r="F224" s="425" t="s">
        <v>239</v>
      </c>
      <c r="G224" s="426" t="s">
        <v>239</v>
      </c>
      <c r="H224" s="44"/>
    </row>
    <row r="226" spans="5:6">
      <c r="F226" s="255"/>
    </row>
    <row r="227" spans="5:6">
      <c r="E227" s="381">
        <f>SUM(E5:E215)</f>
        <v>1286.9521266666668</v>
      </c>
      <c r="F227" s="381"/>
    </row>
    <row r="228" spans="5:6">
      <c r="E228" s="381"/>
    </row>
    <row r="229" spans="5:6">
      <c r="E229" s="381"/>
    </row>
    <row r="230" spans="5:6">
      <c r="E230" s="381"/>
    </row>
    <row r="231" spans="5:6">
      <c r="E231" s="255"/>
    </row>
    <row r="233" spans="5:6">
      <c r="E233" s="255"/>
    </row>
  </sheetData>
  <mergeCells count="154">
    <mergeCell ref="A222:C222"/>
    <mergeCell ref="A213:B213"/>
    <mergeCell ref="A215:G215"/>
    <mergeCell ref="A216:G216"/>
    <mergeCell ref="A217:C217"/>
    <mergeCell ref="A218:C218"/>
    <mergeCell ref="A219:C219"/>
    <mergeCell ref="A203:G203"/>
    <mergeCell ref="A204:G204"/>
    <mergeCell ref="A205:G205"/>
    <mergeCell ref="A207:B207"/>
    <mergeCell ref="A208:G208"/>
    <mergeCell ref="A209:B209"/>
    <mergeCell ref="A210:B210"/>
    <mergeCell ref="A212:G212"/>
    <mergeCell ref="A220:C220"/>
    <mergeCell ref="A191:G191"/>
    <mergeCell ref="A192:G192"/>
    <mergeCell ref="A193:G193"/>
    <mergeCell ref="A195:B195"/>
    <mergeCell ref="A196:G196"/>
    <mergeCell ref="A197:B197"/>
    <mergeCell ref="A198:B198"/>
    <mergeCell ref="A200:G200"/>
    <mergeCell ref="A201:B201"/>
    <mergeCell ref="A178:G178"/>
    <mergeCell ref="A179:G179"/>
    <mergeCell ref="A180:G180"/>
    <mergeCell ref="A182:B182"/>
    <mergeCell ref="A183:G183"/>
    <mergeCell ref="A184:B184"/>
    <mergeCell ref="A185:B185"/>
    <mergeCell ref="A187:G187"/>
    <mergeCell ref="A188:B188"/>
    <mergeCell ref="A165:G165"/>
    <mergeCell ref="A166:G166"/>
    <mergeCell ref="A167:G167"/>
    <mergeCell ref="A169:B169"/>
    <mergeCell ref="A170:G170"/>
    <mergeCell ref="A171:B171"/>
    <mergeCell ref="A172:B172"/>
    <mergeCell ref="A174:G174"/>
    <mergeCell ref="A175:B175"/>
    <mergeCell ref="A152:G152"/>
    <mergeCell ref="A153:G153"/>
    <mergeCell ref="A154:G154"/>
    <mergeCell ref="A156:B156"/>
    <mergeCell ref="A157:G157"/>
    <mergeCell ref="A158:B158"/>
    <mergeCell ref="A159:B159"/>
    <mergeCell ref="A161:G161"/>
    <mergeCell ref="A162:B162"/>
    <mergeCell ref="A139:G139"/>
    <mergeCell ref="A140:G140"/>
    <mergeCell ref="A141:G141"/>
    <mergeCell ref="A143:B143"/>
    <mergeCell ref="A144:G144"/>
    <mergeCell ref="A145:B145"/>
    <mergeCell ref="A146:B146"/>
    <mergeCell ref="A148:G148"/>
    <mergeCell ref="A149:B149"/>
    <mergeCell ref="A127:G127"/>
    <mergeCell ref="A128:G128"/>
    <mergeCell ref="A129:G129"/>
    <mergeCell ref="A131:B131"/>
    <mergeCell ref="A132:G132"/>
    <mergeCell ref="A133:B133"/>
    <mergeCell ref="A134:B134"/>
    <mergeCell ref="A136:G136"/>
    <mergeCell ref="A137:B137"/>
    <mergeCell ref="A110:G110"/>
    <mergeCell ref="A111:G111"/>
    <mergeCell ref="A112:G112"/>
    <mergeCell ref="A114:B114"/>
    <mergeCell ref="A115:G115"/>
    <mergeCell ref="A116:B116"/>
    <mergeCell ref="A117:B117"/>
    <mergeCell ref="A119:G119"/>
    <mergeCell ref="A120:B120"/>
    <mergeCell ref="A94:G94"/>
    <mergeCell ref="A95:G95"/>
    <mergeCell ref="A96:G96"/>
    <mergeCell ref="A98:B98"/>
    <mergeCell ref="A99:G99"/>
    <mergeCell ref="A100:B100"/>
    <mergeCell ref="A101:B101"/>
    <mergeCell ref="A103:G103"/>
    <mergeCell ref="A104:B104"/>
    <mergeCell ref="A81:G81"/>
    <mergeCell ref="A82:G82"/>
    <mergeCell ref="A83:G83"/>
    <mergeCell ref="A85:B85"/>
    <mergeCell ref="A86:G86"/>
    <mergeCell ref="A87:B87"/>
    <mergeCell ref="A88:B88"/>
    <mergeCell ref="A90:G90"/>
    <mergeCell ref="A91:B91"/>
    <mergeCell ref="A68:G68"/>
    <mergeCell ref="A69:G69"/>
    <mergeCell ref="A70:G70"/>
    <mergeCell ref="A72:B72"/>
    <mergeCell ref="A73:G73"/>
    <mergeCell ref="A74:B74"/>
    <mergeCell ref="A75:B75"/>
    <mergeCell ref="A77:G77"/>
    <mergeCell ref="A78:B78"/>
    <mergeCell ref="A55:G55"/>
    <mergeCell ref="A56:G56"/>
    <mergeCell ref="A57:G57"/>
    <mergeCell ref="A59:B59"/>
    <mergeCell ref="A60:G60"/>
    <mergeCell ref="A61:B61"/>
    <mergeCell ref="A62:B62"/>
    <mergeCell ref="A64:G64"/>
    <mergeCell ref="A65:B65"/>
    <mergeCell ref="A42:G42"/>
    <mergeCell ref="A43:G43"/>
    <mergeCell ref="A44:G44"/>
    <mergeCell ref="A46:B46"/>
    <mergeCell ref="A47:G47"/>
    <mergeCell ref="A48:B48"/>
    <mergeCell ref="A49:B49"/>
    <mergeCell ref="A51:G51"/>
    <mergeCell ref="A52:B52"/>
    <mergeCell ref="A32:G32"/>
    <mergeCell ref="A34:B34"/>
    <mergeCell ref="A35:G35"/>
    <mergeCell ref="A26:G26"/>
    <mergeCell ref="A27:B27"/>
    <mergeCell ref="A36:B36"/>
    <mergeCell ref="A37:B37"/>
    <mergeCell ref="A39:G39"/>
    <mergeCell ref="A40:B40"/>
    <mergeCell ref="A11:B11"/>
    <mergeCell ref="A13:G13"/>
    <mergeCell ref="A31:G31"/>
    <mergeCell ref="A14:B14"/>
    <mergeCell ref="A18:G18"/>
    <mergeCell ref="A19:G19"/>
    <mergeCell ref="A22:G22"/>
    <mergeCell ref="A23:B23"/>
    <mergeCell ref="A24:B24"/>
    <mergeCell ref="A17:G17"/>
    <mergeCell ref="A21:B21"/>
    <mergeCell ref="A30:G30"/>
    <mergeCell ref="A1:G2"/>
    <mergeCell ref="A5:G5"/>
    <mergeCell ref="A6:G6"/>
    <mergeCell ref="A9:G9"/>
    <mergeCell ref="A10:B10"/>
    <mergeCell ref="A3:B4"/>
    <mergeCell ref="F3:F4"/>
    <mergeCell ref="A8:B8"/>
    <mergeCell ref="G3:G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G157"/>
  <sheetViews>
    <sheetView topLeftCell="A133" zoomScale="55" zoomScaleNormal="55" workbookViewId="0">
      <selection activeCell="J142" sqref="J142"/>
    </sheetView>
  </sheetViews>
  <sheetFormatPr defaultColWidth="9.140625" defaultRowHeight="12.75"/>
  <cols>
    <col min="1" max="1" width="49.85546875" style="44" customWidth="1"/>
    <col min="2" max="2" width="25.7109375" style="44" customWidth="1"/>
    <col min="3" max="3" width="15.7109375" style="44" customWidth="1"/>
    <col min="4" max="4" width="14.7109375" style="44" bestFit="1" customWidth="1"/>
    <col min="5" max="5" width="14.140625" style="44" bestFit="1" customWidth="1"/>
    <col min="6" max="6" width="16.7109375" style="44" bestFit="1" customWidth="1"/>
    <col min="7" max="7" width="40.28515625" style="44" customWidth="1"/>
    <col min="8" max="8" width="25.7109375" style="44" customWidth="1"/>
    <col min="9" max="9" width="15.7109375" style="44" customWidth="1"/>
    <col min="10" max="10" width="18.7109375" style="44" customWidth="1"/>
    <col min="11" max="11" width="27.42578125" style="44" customWidth="1"/>
    <col min="12" max="12" width="14.42578125" style="44" bestFit="1" customWidth="1"/>
    <col min="13" max="16384" width="9.140625" style="44"/>
  </cols>
  <sheetData>
    <row r="1" spans="1:6" ht="15.75" customHeight="1">
      <c r="A1" s="947" t="s">
        <v>409</v>
      </c>
      <c r="B1" s="948"/>
      <c r="C1" s="948"/>
      <c r="D1" s="948"/>
      <c r="E1" s="948"/>
      <c r="F1" s="949"/>
    </row>
    <row r="2" spans="1:6" ht="15.75" customHeight="1">
      <c r="A2" s="950"/>
      <c r="B2" s="951"/>
      <c r="C2" s="951"/>
      <c r="D2" s="951"/>
      <c r="E2" s="951"/>
      <c r="F2" s="952"/>
    </row>
    <row r="3" spans="1:6" ht="15.75">
      <c r="A3" s="382" t="s">
        <v>121</v>
      </c>
      <c r="B3" s="383" t="s">
        <v>243</v>
      </c>
      <c r="C3" s="383"/>
      <c r="D3" s="383"/>
      <c r="E3" s="383"/>
      <c r="F3" s="384" t="s">
        <v>122</v>
      </c>
    </row>
    <row r="4" spans="1:6" ht="15.75">
      <c r="A4" s="382" t="s">
        <v>123</v>
      </c>
      <c r="B4" s="385" t="s">
        <v>124</v>
      </c>
      <c r="C4" s="385" t="s">
        <v>17</v>
      </c>
      <c r="D4" s="385" t="s">
        <v>125</v>
      </c>
      <c r="E4" s="385" t="s">
        <v>126</v>
      </c>
      <c r="F4" s="384" t="s">
        <v>266</v>
      </c>
    </row>
    <row r="5" spans="1:6" ht="18.75" customHeight="1">
      <c r="A5" s="944" t="s">
        <v>410</v>
      </c>
      <c r="B5" s="945"/>
      <c r="C5" s="945"/>
      <c r="D5" s="945"/>
      <c r="E5" s="945"/>
      <c r="F5" s="946"/>
    </row>
    <row r="6" spans="1:6" ht="62.1" customHeight="1">
      <c r="A6" s="386" t="s">
        <v>471</v>
      </c>
      <c r="B6" s="387" t="s">
        <v>127</v>
      </c>
      <c r="C6" s="388" t="s">
        <v>244</v>
      </c>
      <c r="D6" s="389">
        <v>0.6</v>
      </c>
      <c r="E6" s="390">
        <v>0.28299999999999997</v>
      </c>
      <c r="F6" s="391"/>
    </row>
    <row r="7" spans="1:6" ht="60" customHeight="1">
      <c r="A7" s="386" t="s">
        <v>472</v>
      </c>
      <c r="B7" s="387" t="s">
        <v>144</v>
      </c>
      <c r="C7" s="388" t="s">
        <v>145</v>
      </c>
      <c r="D7" s="389" t="s">
        <v>245</v>
      </c>
      <c r="E7" s="390">
        <f>(0.25*0.45)*2</f>
        <v>0.22500000000000001</v>
      </c>
      <c r="F7" s="391">
        <v>2</v>
      </c>
    </row>
    <row r="8" spans="1:6" ht="18.75">
      <c r="A8" s="941"/>
      <c r="B8" s="942"/>
      <c r="C8" s="942"/>
      <c r="D8" s="942"/>
      <c r="E8" s="942"/>
      <c r="F8" s="943"/>
    </row>
    <row r="9" spans="1:6" ht="18.75" customHeight="1">
      <c r="A9" s="944" t="s">
        <v>413</v>
      </c>
      <c r="B9" s="945"/>
      <c r="C9" s="945"/>
      <c r="D9" s="945"/>
      <c r="E9" s="945"/>
      <c r="F9" s="946"/>
    </row>
    <row r="10" spans="1:6" ht="62.1" customHeight="1">
      <c r="A10" s="386" t="s">
        <v>414</v>
      </c>
      <c r="B10" s="387" t="s">
        <v>127</v>
      </c>
      <c r="C10" s="388" t="s">
        <v>244</v>
      </c>
      <c r="D10" s="389">
        <v>0.6</v>
      </c>
      <c r="E10" s="390">
        <v>0.28299999999999997</v>
      </c>
      <c r="F10" s="391"/>
    </row>
    <row r="11" spans="1:6" ht="60" customHeight="1">
      <c r="A11" s="386" t="s">
        <v>415</v>
      </c>
      <c r="B11" s="387" t="s">
        <v>144</v>
      </c>
      <c r="C11" s="388" t="s">
        <v>145</v>
      </c>
      <c r="D11" s="389" t="s">
        <v>245</v>
      </c>
      <c r="E11" s="390">
        <f>(0.25*0.45)*2</f>
        <v>0.22500000000000001</v>
      </c>
      <c r="F11" s="391">
        <v>2</v>
      </c>
    </row>
    <row r="12" spans="1:6" ht="18.75">
      <c r="A12" s="941"/>
      <c r="B12" s="942"/>
      <c r="C12" s="942"/>
      <c r="D12" s="942"/>
      <c r="E12" s="942"/>
      <c r="F12" s="943"/>
    </row>
    <row r="13" spans="1:6" ht="18.75" customHeight="1">
      <c r="A13" s="944" t="s">
        <v>416</v>
      </c>
      <c r="B13" s="945"/>
      <c r="C13" s="945"/>
      <c r="D13" s="945"/>
      <c r="E13" s="945"/>
      <c r="F13" s="946"/>
    </row>
    <row r="14" spans="1:6" ht="62.1" customHeight="1">
      <c r="A14" s="386" t="s">
        <v>411</v>
      </c>
      <c r="B14" s="387" t="s">
        <v>127</v>
      </c>
      <c r="C14" s="388" t="s">
        <v>244</v>
      </c>
      <c r="D14" s="389">
        <v>0.6</v>
      </c>
      <c r="E14" s="390">
        <v>0.28299999999999997</v>
      </c>
      <c r="F14" s="391"/>
    </row>
    <row r="15" spans="1:6" ht="60" customHeight="1">
      <c r="A15" s="386" t="s">
        <v>412</v>
      </c>
      <c r="B15" s="387" t="s">
        <v>144</v>
      </c>
      <c r="C15" s="388" t="s">
        <v>145</v>
      </c>
      <c r="D15" s="389" t="s">
        <v>245</v>
      </c>
      <c r="E15" s="390">
        <f>(0.25*0.45)*2</f>
        <v>0.22500000000000001</v>
      </c>
      <c r="F15" s="391">
        <v>2</v>
      </c>
    </row>
    <row r="16" spans="1:6" ht="18.75">
      <c r="A16" s="941"/>
      <c r="B16" s="942"/>
      <c r="C16" s="942"/>
      <c r="D16" s="942"/>
      <c r="E16" s="942"/>
      <c r="F16" s="943"/>
    </row>
    <row r="17" spans="1:6" ht="18.75" customHeight="1">
      <c r="A17" s="944" t="s">
        <v>417</v>
      </c>
      <c r="B17" s="945"/>
      <c r="C17" s="945"/>
      <c r="D17" s="945"/>
      <c r="E17" s="945"/>
      <c r="F17" s="946"/>
    </row>
    <row r="18" spans="1:6" ht="62.1" customHeight="1">
      <c r="A18" s="386" t="s">
        <v>414</v>
      </c>
      <c r="B18" s="387" t="s">
        <v>127</v>
      </c>
      <c r="C18" s="388" t="s">
        <v>244</v>
      </c>
      <c r="D18" s="389">
        <v>0.6</v>
      </c>
      <c r="E18" s="390">
        <v>0.28299999999999997</v>
      </c>
      <c r="F18" s="391"/>
    </row>
    <row r="19" spans="1:6" ht="60" customHeight="1">
      <c r="A19" s="386" t="s">
        <v>415</v>
      </c>
      <c r="B19" s="387" t="s">
        <v>144</v>
      </c>
      <c r="C19" s="388" t="s">
        <v>145</v>
      </c>
      <c r="D19" s="389" t="s">
        <v>245</v>
      </c>
      <c r="E19" s="390">
        <f>(0.25*0.45)*2</f>
        <v>0.22500000000000001</v>
      </c>
      <c r="F19" s="391">
        <v>2</v>
      </c>
    </row>
    <row r="20" spans="1:6" ht="18.75">
      <c r="A20" s="941"/>
      <c r="B20" s="942"/>
      <c r="C20" s="942"/>
      <c r="D20" s="942"/>
      <c r="E20" s="942"/>
      <c r="F20" s="943"/>
    </row>
    <row r="21" spans="1:6" ht="18.75" customHeight="1">
      <c r="A21" s="944" t="s">
        <v>418</v>
      </c>
      <c r="B21" s="945"/>
      <c r="C21" s="945"/>
      <c r="D21" s="945"/>
      <c r="E21" s="945"/>
      <c r="F21" s="946"/>
    </row>
    <row r="22" spans="1:6" ht="60" customHeight="1">
      <c r="A22" s="386" t="s">
        <v>419</v>
      </c>
      <c r="B22" s="387" t="s">
        <v>127</v>
      </c>
      <c r="C22" s="388" t="s">
        <v>244</v>
      </c>
      <c r="D22" s="389">
        <v>0.6</v>
      </c>
      <c r="E22" s="390">
        <v>0.28299999999999997</v>
      </c>
      <c r="F22" s="391"/>
    </row>
    <row r="23" spans="1:6" ht="60" customHeight="1">
      <c r="A23" s="386" t="s">
        <v>420</v>
      </c>
      <c r="B23" s="387" t="s">
        <v>144</v>
      </c>
      <c r="C23" s="388" t="s">
        <v>145</v>
      </c>
      <c r="D23" s="389" t="s">
        <v>245</v>
      </c>
      <c r="E23" s="390">
        <f>(0.25*0.45)*2</f>
        <v>0.22500000000000001</v>
      </c>
      <c r="F23" s="391">
        <v>2</v>
      </c>
    </row>
    <row r="24" spans="1:6" ht="18.75">
      <c r="A24" s="941"/>
      <c r="B24" s="942"/>
      <c r="C24" s="942"/>
      <c r="D24" s="942"/>
      <c r="E24" s="942"/>
      <c r="F24" s="943"/>
    </row>
    <row r="25" spans="1:6" ht="18.75" customHeight="1">
      <c r="A25" s="944" t="s">
        <v>421</v>
      </c>
      <c r="B25" s="945"/>
      <c r="C25" s="945"/>
      <c r="D25" s="945"/>
      <c r="E25" s="945"/>
      <c r="F25" s="946"/>
    </row>
    <row r="26" spans="1:6" ht="60" customHeight="1">
      <c r="A26" s="386" t="s">
        <v>419</v>
      </c>
      <c r="B26" s="387" t="s">
        <v>127</v>
      </c>
      <c r="C26" s="388" t="s">
        <v>244</v>
      </c>
      <c r="D26" s="389">
        <v>0.6</v>
      </c>
      <c r="E26" s="390">
        <v>0.28299999999999997</v>
      </c>
      <c r="F26" s="391"/>
    </row>
    <row r="27" spans="1:6" ht="60" customHeight="1">
      <c r="A27" s="386" t="s">
        <v>420</v>
      </c>
      <c r="B27" s="387" t="s">
        <v>144</v>
      </c>
      <c r="C27" s="388" t="s">
        <v>145</v>
      </c>
      <c r="D27" s="389" t="s">
        <v>245</v>
      </c>
      <c r="E27" s="390">
        <f>(0.25*0.45)*2</f>
        <v>0.22500000000000001</v>
      </c>
      <c r="F27" s="391">
        <v>2</v>
      </c>
    </row>
    <row r="28" spans="1:6" ht="18.75">
      <c r="A28" s="941"/>
      <c r="B28" s="942"/>
      <c r="C28" s="942"/>
      <c r="D28" s="942"/>
      <c r="E28" s="942"/>
      <c r="F28" s="943"/>
    </row>
    <row r="29" spans="1:6" ht="18.75" customHeight="1">
      <c r="A29" s="944" t="s">
        <v>422</v>
      </c>
      <c r="B29" s="945"/>
      <c r="C29" s="945"/>
      <c r="D29" s="945"/>
      <c r="E29" s="945"/>
      <c r="F29" s="946"/>
    </row>
    <row r="30" spans="1:6" ht="60" customHeight="1">
      <c r="A30" s="386" t="s">
        <v>423</v>
      </c>
      <c r="B30" s="387" t="s">
        <v>127</v>
      </c>
      <c r="C30" s="388" t="s">
        <v>244</v>
      </c>
      <c r="D30" s="389">
        <v>0.6</v>
      </c>
      <c r="E30" s="390">
        <v>0.28299999999999997</v>
      </c>
      <c r="F30" s="391"/>
    </row>
    <row r="31" spans="1:6" ht="60" customHeight="1">
      <c r="A31" s="386" t="s">
        <v>424</v>
      </c>
      <c r="B31" s="387" t="s">
        <v>144</v>
      </c>
      <c r="C31" s="388" t="s">
        <v>145</v>
      </c>
      <c r="D31" s="389" t="s">
        <v>245</v>
      </c>
      <c r="E31" s="390">
        <f>(0.25*0.45)*2</f>
        <v>0.22500000000000001</v>
      </c>
      <c r="F31" s="391">
        <v>2</v>
      </c>
    </row>
    <row r="32" spans="1:6" ht="18.75">
      <c r="A32" s="941"/>
      <c r="B32" s="942"/>
      <c r="C32" s="942"/>
      <c r="D32" s="942"/>
      <c r="E32" s="942"/>
      <c r="F32" s="943"/>
    </row>
    <row r="33" spans="1:6" ht="18.75" customHeight="1">
      <c r="A33" s="944" t="s">
        <v>425</v>
      </c>
      <c r="B33" s="945"/>
      <c r="C33" s="945"/>
      <c r="D33" s="945"/>
      <c r="E33" s="945"/>
      <c r="F33" s="946"/>
    </row>
    <row r="34" spans="1:6" ht="60" customHeight="1">
      <c r="A34" s="386" t="s">
        <v>419</v>
      </c>
      <c r="B34" s="387" t="s">
        <v>127</v>
      </c>
      <c r="C34" s="388" t="s">
        <v>244</v>
      </c>
      <c r="D34" s="389">
        <v>0.6</v>
      </c>
      <c r="E34" s="390">
        <v>0.28299999999999997</v>
      </c>
      <c r="F34" s="391"/>
    </row>
    <row r="35" spans="1:6" ht="60" customHeight="1">
      <c r="A35" s="386" t="s">
        <v>420</v>
      </c>
      <c r="B35" s="387" t="s">
        <v>144</v>
      </c>
      <c r="C35" s="388" t="s">
        <v>145</v>
      </c>
      <c r="D35" s="389" t="s">
        <v>245</v>
      </c>
      <c r="E35" s="390">
        <f>(0.25*0.45)*2</f>
        <v>0.22500000000000001</v>
      </c>
      <c r="F35" s="391">
        <v>2</v>
      </c>
    </row>
    <row r="36" spans="1:6" ht="18.75">
      <c r="A36" s="941"/>
      <c r="B36" s="942"/>
      <c r="C36" s="942"/>
      <c r="D36" s="942"/>
      <c r="E36" s="942"/>
      <c r="F36" s="943"/>
    </row>
    <row r="37" spans="1:6" ht="18.75" customHeight="1">
      <c r="A37" s="944" t="s">
        <v>426</v>
      </c>
      <c r="B37" s="945"/>
      <c r="C37" s="945"/>
      <c r="D37" s="945"/>
      <c r="E37" s="945"/>
      <c r="F37" s="946"/>
    </row>
    <row r="38" spans="1:6" ht="60" customHeight="1">
      <c r="A38" s="386" t="s">
        <v>427</v>
      </c>
      <c r="B38" s="387" t="s">
        <v>127</v>
      </c>
      <c r="C38" s="388" t="s">
        <v>244</v>
      </c>
      <c r="D38" s="389">
        <v>0.6</v>
      </c>
      <c r="E38" s="390">
        <v>0.28299999999999997</v>
      </c>
      <c r="F38" s="391"/>
    </row>
    <row r="39" spans="1:6" ht="60" customHeight="1">
      <c r="A39" s="386" t="s">
        <v>428</v>
      </c>
      <c r="B39" s="387" t="s">
        <v>144</v>
      </c>
      <c r="C39" s="388" t="s">
        <v>145</v>
      </c>
      <c r="D39" s="389" t="s">
        <v>245</v>
      </c>
      <c r="E39" s="390">
        <f>(0.25*0.45)*2</f>
        <v>0.22500000000000001</v>
      </c>
      <c r="F39" s="391">
        <v>2</v>
      </c>
    </row>
    <row r="40" spans="1:6" ht="18.75">
      <c r="A40" s="941"/>
      <c r="B40" s="942"/>
      <c r="C40" s="942"/>
      <c r="D40" s="942"/>
      <c r="E40" s="942"/>
      <c r="F40" s="943"/>
    </row>
    <row r="41" spans="1:6" ht="18.75" customHeight="1">
      <c r="A41" s="944" t="s">
        <v>429</v>
      </c>
      <c r="B41" s="945"/>
      <c r="C41" s="945"/>
      <c r="D41" s="945"/>
      <c r="E41" s="945"/>
      <c r="F41" s="946"/>
    </row>
    <row r="42" spans="1:6" ht="60" customHeight="1">
      <c r="A42" s="386" t="s">
        <v>411</v>
      </c>
      <c r="B42" s="387" t="s">
        <v>127</v>
      </c>
      <c r="C42" s="388" t="s">
        <v>244</v>
      </c>
      <c r="D42" s="389">
        <v>0.6</v>
      </c>
      <c r="E42" s="390">
        <v>0.28299999999999997</v>
      </c>
      <c r="F42" s="391"/>
    </row>
    <row r="43" spans="1:6" ht="60" customHeight="1">
      <c r="A43" s="386" t="s">
        <v>412</v>
      </c>
      <c r="B43" s="387" t="s">
        <v>144</v>
      </c>
      <c r="C43" s="388" t="s">
        <v>145</v>
      </c>
      <c r="D43" s="389" t="s">
        <v>245</v>
      </c>
      <c r="E43" s="390">
        <f>(0.25*0.45)*2</f>
        <v>0.22500000000000001</v>
      </c>
      <c r="F43" s="391">
        <v>2</v>
      </c>
    </row>
    <row r="44" spans="1:6" ht="18.75">
      <c r="A44" s="941"/>
      <c r="B44" s="942"/>
      <c r="C44" s="942"/>
      <c r="D44" s="942"/>
      <c r="E44" s="942"/>
      <c r="F44" s="943"/>
    </row>
    <row r="45" spans="1:6" ht="18.75" customHeight="1">
      <c r="A45" s="944" t="s">
        <v>430</v>
      </c>
      <c r="B45" s="945"/>
      <c r="C45" s="945"/>
      <c r="D45" s="945"/>
      <c r="E45" s="945"/>
      <c r="F45" s="946"/>
    </row>
    <row r="46" spans="1:6" ht="60" customHeight="1">
      <c r="A46" s="386" t="s">
        <v>427</v>
      </c>
      <c r="B46" s="387" t="s">
        <v>127</v>
      </c>
      <c r="C46" s="388" t="s">
        <v>244</v>
      </c>
      <c r="D46" s="389">
        <v>0.6</v>
      </c>
      <c r="E46" s="390">
        <v>0.28299999999999997</v>
      </c>
      <c r="F46" s="391"/>
    </row>
    <row r="47" spans="1:6" ht="60" customHeight="1">
      <c r="A47" s="386" t="s">
        <v>428</v>
      </c>
      <c r="B47" s="387" t="s">
        <v>144</v>
      </c>
      <c r="C47" s="388" t="s">
        <v>145</v>
      </c>
      <c r="D47" s="389" t="s">
        <v>245</v>
      </c>
      <c r="E47" s="390">
        <f>(0.25*0.45)*2</f>
        <v>0.22500000000000001</v>
      </c>
      <c r="F47" s="391">
        <v>2</v>
      </c>
    </row>
    <row r="48" spans="1:6" ht="18.75">
      <c r="A48" s="392"/>
      <c r="B48" s="393"/>
      <c r="C48" s="393"/>
      <c r="D48" s="393"/>
      <c r="E48" s="393"/>
      <c r="F48" s="394"/>
    </row>
    <row r="49" spans="1:6" ht="18.75" customHeight="1">
      <c r="A49" s="944" t="s">
        <v>431</v>
      </c>
      <c r="B49" s="945"/>
      <c r="C49" s="945"/>
      <c r="D49" s="945"/>
      <c r="E49" s="945"/>
      <c r="F49" s="946"/>
    </row>
    <row r="50" spans="1:6" ht="60" customHeight="1">
      <c r="A50" s="386" t="s">
        <v>411</v>
      </c>
      <c r="B50" s="387" t="s">
        <v>127</v>
      </c>
      <c r="C50" s="388" t="s">
        <v>244</v>
      </c>
      <c r="D50" s="389">
        <v>0.6</v>
      </c>
      <c r="E50" s="390">
        <v>0.28299999999999997</v>
      </c>
      <c r="F50" s="391"/>
    </row>
    <row r="51" spans="1:6" ht="60" customHeight="1">
      <c r="A51" s="386" t="s">
        <v>412</v>
      </c>
      <c r="B51" s="387" t="s">
        <v>144</v>
      </c>
      <c r="C51" s="388" t="s">
        <v>145</v>
      </c>
      <c r="D51" s="389" t="s">
        <v>245</v>
      </c>
      <c r="E51" s="390">
        <f>(0.25*0.45)*2</f>
        <v>0.22500000000000001</v>
      </c>
      <c r="F51" s="391">
        <v>2</v>
      </c>
    </row>
    <row r="52" spans="1:6" ht="18.75">
      <c r="A52" s="941"/>
      <c r="B52" s="942"/>
      <c r="C52" s="942"/>
      <c r="D52" s="942"/>
      <c r="E52" s="942"/>
      <c r="F52" s="943"/>
    </row>
    <row r="53" spans="1:6" ht="18.75" customHeight="1">
      <c r="A53" s="944" t="s">
        <v>432</v>
      </c>
      <c r="B53" s="945"/>
      <c r="C53" s="945"/>
      <c r="D53" s="945"/>
      <c r="E53" s="945"/>
      <c r="F53" s="946"/>
    </row>
    <row r="54" spans="1:6" ht="60" customHeight="1">
      <c r="A54" s="386" t="s">
        <v>427</v>
      </c>
      <c r="B54" s="387" t="s">
        <v>127</v>
      </c>
      <c r="C54" s="388" t="s">
        <v>244</v>
      </c>
      <c r="D54" s="389">
        <v>0.6</v>
      </c>
      <c r="E54" s="390">
        <v>0.28299999999999997</v>
      </c>
      <c r="F54" s="391"/>
    </row>
    <row r="55" spans="1:6" ht="60" customHeight="1">
      <c r="A55" s="386" t="s">
        <v>428</v>
      </c>
      <c r="B55" s="387" t="s">
        <v>144</v>
      </c>
      <c r="C55" s="388" t="s">
        <v>145</v>
      </c>
      <c r="D55" s="389" t="s">
        <v>245</v>
      </c>
      <c r="E55" s="390">
        <f>(0.25*0.45)*2</f>
        <v>0.22500000000000001</v>
      </c>
      <c r="F55" s="391">
        <v>2</v>
      </c>
    </row>
    <row r="56" spans="1:6" ht="18.75">
      <c r="A56" s="941"/>
      <c r="B56" s="942"/>
      <c r="C56" s="942"/>
      <c r="D56" s="942"/>
      <c r="E56" s="942"/>
      <c r="F56" s="943"/>
    </row>
    <row r="57" spans="1:6" ht="18.75" customHeight="1">
      <c r="A57" s="944" t="s">
        <v>433</v>
      </c>
      <c r="B57" s="945"/>
      <c r="C57" s="945"/>
      <c r="D57" s="945"/>
      <c r="E57" s="945"/>
      <c r="F57" s="946"/>
    </row>
    <row r="58" spans="1:6" ht="60" customHeight="1">
      <c r="A58" s="386" t="s">
        <v>434</v>
      </c>
      <c r="B58" s="387" t="s">
        <v>127</v>
      </c>
      <c r="C58" s="388" t="s">
        <v>244</v>
      </c>
      <c r="D58" s="389">
        <v>0.6</v>
      </c>
      <c r="E58" s="390">
        <v>0.28299999999999997</v>
      </c>
      <c r="F58" s="391"/>
    </row>
    <row r="59" spans="1:6" ht="60" customHeight="1">
      <c r="A59" s="386" t="s">
        <v>435</v>
      </c>
      <c r="B59" s="387" t="s">
        <v>144</v>
      </c>
      <c r="C59" s="388" t="s">
        <v>145</v>
      </c>
      <c r="D59" s="389" t="s">
        <v>245</v>
      </c>
      <c r="E59" s="390">
        <f>(0.25*0.45)*2</f>
        <v>0.22500000000000001</v>
      </c>
      <c r="F59" s="391">
        <v>2</v>
      </c>
    </row>
    <row r="60" spans="1:6" ht="18.75">
      <c r="A60" s="941"/>
      <c r="B60" s="942"/>
      <c r="C60" s="942"/>
      <c r="D60" s="942"/>
      <c r="E60" s="942"/>
      <c r="F60" s="943"/>
    </row>
    <row r="61" spans="1:6" ht="18.75" customHeight="1">
      <c r="A61" s="944" t="s">
        <v>436</v>
      </c>
      <c r="B61" s="945"/>
      <c r="C61" s="945"/>
      <c r="D61" s="945"/>
      <c r="E61" s="945"/>
      <c r="F61" s="946"/>
    </row>
    <row r="62" spans="1:6" ht="62.1" customHeight="1">
      <c r="A62" s="386" t="s">
        <v>437</v>
      </c>
      <c r="B62" s="387" t="s">
        <v>127</v>
      </c>
      <c r="C62" s="388" t="s">
        <v>244</v>
      </c>
      <c r="D62" s="389">
        <v>0.6</v>
      </c>
      <c r="E62" s="390">
        <v>0.28299999999999997</v>
      </c>
      <c r="F62" s="391"/>
    </row>
    <row r="63" spans="1:6" ht="60" customHeight="1">
      <c r="A63" s="386" t="s">
        <v>438</v>
      </c>
      <c r="B63" s="387" t="s">
        <v>144</v>
      </c>
      <c r="C63" s="388" t="s">
        <v>145</v>
      </c>
      <c r="D63" s="389" t="s">
        <v>245</v>
      </c>
      <c r="E63" s="390">
        <f>(0.25*0.45)*2</f>
        <v>0.22500000000000001</v>
      </c>
      <c r="F63" s="391">
        <v>2</v>
      </c>
    </row>
    <row r="64" spans="1:6" ht="18.75">
      <c r="A64" s="941"/>
      <c r="B64" s="942"/>
      <c r="C64" s="942"/>
      <c r="D64" s="942"/>
      <c r="E64" s="942"/>
      <c r="F64" s="943"/>
    </row>
    <row r="65" spans="1:6" ht="18.75" customHeight="1">
      <c r="A65" s="944" t="s">
        <v>439</v>
      </c>
      <c r="B65" s="945"/>
      <c r="C65" s="945"/>
      <c r="D65" s="945"/>
      <c r="E65" s="945"/>
      <c r="F65" s="946"/>
    </row>
    <row r="66" spans="1:6" ht="62.1" customHeight="1">
      <c r="A66" s="386" t="s">
        <v>437</v>
      </c>
      <c r="B66" s="387" t="s">
        <v>127</v>
      </c>
      <c r="C66" s="388" t="s">
        <v>244</v>
      </c>
      <c r="D66" s="389">
        <v>0.6</v>
      </c>
      <c r="E66" s="390">
        <v>0.28299999999999997</v>
      </c>
      <c r="F66" s="391"/>
    </row>
    <row r="67" spans="1:6" ht="60" customHeight="1">
      <c r="A67" s="386" t="s">
        <v>438</v>
      </c>
      <c r="B67" s="387" t="s">
        <v>144</v>
      </c>
      <c r="C67" s="388" t="s">
        <v>145</v>
      </c>
      <c r="D67" s="389" t="s">
        <v>245</v>
      </c>
      <c r="E67" s="390">
        <f>(0.25*0.45)*2</f>
        <v>0.22500000000000001</v>
      </c>
      <c r="F67" s="391">
        <v>2</v>
      </c>
    </row>
    <row r="68" spans="1:6" ht="18.75">
      <c r="A68" s="941"/>
      <c r="B68" s="942"/>
      <c r="C68" s="942"/>
      <c r="D68" s="942"/>
      <c r="E68" s="942"/>
      <c r="F68" s="943"/>
    </row>
    <row r="69" spans="1:6" ht="18.75" customHeight="1">
      <c r="A69" s="944" t="s">
        <v>440</v>
      </c>
      <c r="B69" s="945"/>
      <c r="C69" s="945"/>
      <c r="D69" s="945"/>
      <c r="E69" s="945"/>
      <c r="F69" s="946"/>
    </row>
    <row r="70" spans="1:6" ht="62.1" customHeight="1">
      <c r="A70" s="386" t="s">
        <v>441</v>
      </c>
      <c r="B70" s="387" t="s">
        <v>127</v>
      </c>
      <c r="C70" s="388" t="s">
        <v>244</v>
      </c>
      <c r="D70" s="389">
        <v>0.6</v>
      </c>
      <c r="E70" s="390">
        <v>0.28299999999999997</v>
      </c>
      <c r="F70" s="391"/>
    </row>
    <row r="71" spans="1:6" ht="60" customHeight="1">
      <c r="A71" s="386" t="s">
        <v>442</v>
      </c>
      <c r="B71" s="387" t="s">
        <v>144</v>
      </c>
      <c r="C71" s="388" t="s">
        <v>145</v>
      </c>
      <c r="D71" s="389" t="s">
        <v>245</v>
      </c>
      <c r="E71" s="390">
        <f>(0.25*0.45)*2</f>
        <v>0.22500000000000001</v>
      </c>
      <c r="F71" s="391">
        <v>2</v>
      </c>
    </row>
    <row r="72" spans="1:6" ht="18.75">
      <c r="A72" s="941"/>
      <c r="B72" s="942"/>
      <c r="C72" s="942"/>
      <c r="D72" s="942"/>
      <c r="E72" s="942"/>
      <c r="F72" s="943"/>
    </row>
    <row r="73" spans="1:6" ht="18.75" customHeight="1">
      <c r="A73" s="944" t="s">
        <v>443</v>
      </c>
      <c r="B73" s="945"/>
      <c r="C73" s="945"/>
      <c r="D73" s="945"/>
      <c r="E73" s="945"/>
      <c r="F73" s="946"/>
    </row>
    <row r="74" spans="1:6" ht="62.1" customHeight="1">
      <c r="A74" s="386" t="s">
        <v>441</v>
      </c>
      <c r="B74" s="387" t="s">
        <v>127</v>
      </c>
      <c r="C74" s="388" t="s">
        <v>244</v>
      </c>
      <c r="D74" s="389">
        <v>0.6</v>
      </c>
      <c r="E74" s="390">
        <v>0.28299999999999997</v>
      </c>
      <c r="F74" s="391"/>
    </row>
    <row r="75" spans="1:6" ht="62.1" customHeight="1">
      <c r="A75" s="386" t="s">
        <v>442</v>
      </c>
      <c r="B75" s="387" t="s">
        <v>144</v>
      </c>
      <c r="C75" s="388" t="s">
        <v>145</v>
      </c>
      <c r="D75" s="389" t="s">
        <v>245</v>
      </c>
      <c r="E75" s="390">
        <f>(0.25*0.45)*2</f>
        <v>0.22500000000000001</v>
      </c>
      <c r="F75" s="391">
        <v>2</v>
      </c>
    </row>
    <row r="76" spans="1:6" ht="18.75">
      <c r="A76" s="941"/>
      <c r="B76" s="942"/>
      <c r="C76" s="942"/>
      <c r="D76" s="942"/>
      <c r="E76" s="942"/>
      <c r="F76" s="943"/>
    </row>
    <row r="77" spans="1:6" ht="18.75" customHeight="1">
      <c r="A77" s="944" t="s">
        <v>444</v>
      </c>
      <c r="B77" s="945"/>
      <c r="C77" s="945"/>
      <c r="D77" s="945"/>
      <c r="E77" s="945"/>
      <c r="F77" s="946"/>
    </row>
    <row r="78" spans="1:6" ht="62.1" customHeight="1">
      <c r="A78" s="386" t="s">
        <v>445</v>
      </c>
      <c r="B78" s="387" t="s">
        <v>127</v>
      </c>
      <c r="C78" s="388" t="s">
        <v>244</v>
      </c>
      <c r="D78" s="389">
        <v>0.6</v>
      </c>
      <c r="E78" s="390">
        <v>0.28299999999999997</v>
      </c>
      <c r="F78" s="391"/>
    </row>
    <row r="79" spans="1:6" ht="62.1" customHeight="1">
      <c r="A79" s="386" t="s">
        <v>446</v>
      </c>
      <c r="B79" s="387" t="s">
        <v>144</v>
      </c>
      <c r="C79" s="388" t="s">
        <v>145</v>
      </c>
      <c r="D79" s="389" t="s">
        <v>245</v>
      </c>
      <c r="E79" s="390">
        <f>(0.25*0.45)*2</f>
        <v>0.22500000000000001</v>
      </c>
      <c r="F79" s="391">
        <v>2</v>
      </c>
    </row>
    <row r="80" spans="1:6" ht="18.75">
      <c r="A80" s="941"/>
      <c r="B80" s="942"/>
      <c r="C80" s="942"/>
      <c r="D80" s="942"/>
      <c r="E80" s="942"/>
      <c r="F80" s="943"/>
    </row>
    <row r="81" spans="1:6" ht="18.75" customHeight="1">
      <c r="A81" s="944" t="s">
        <v>447</v>
      </c>
      <c r="B81" s="945"/>
      <c r="C81" s="945"/>
      <c r="D81" s="945"/>
      <c r="E81" s="945"/>
      <c r="F81" s="946"/>
    </row>
    <row r="82" spans="1:6" ht="62.1" customHeight="1">
      <c r="A82" s="386" t="s">
        <v>434</v>
      </c>
      <c r="B82" s="387" t="s">
        <v>127</v>
      </c>
      <c r="C82" s="388" t="s">
        <v>244</v>
      </c>
      <c r="D82" s="389">
        <v>0.6</v>
      </c>
      <c r="E82" s="390">
        <v>0.28299999999999997</v>
      </c>
      <c r="F82" s="391"/>
    </row>
    <row r="83" spans="1:6" ht="62.1" customHeight="1">
      <c r="A83" s="386" t="s">
        <v>435</v>
      </c>
      <c r="B83" s="387" t="s">
        <v>144</v>
      </c>
      <c r="C83" s="388" t="s">
        <v>145</v>
      </c>
      <c r="D83" s="389" t="s">
        <v>245</v>
      </c>
      <c r="E83" s="390">
        <f>(0.25*0.45)*2</f>
        <v>0.22500000000000001</v>
      </c>
      <c r="F83" s="391">
        <v>2</v>
      </c>
    </row>
    <row r="84" spans="1:6" ht="18.75">
      <c r="A84" s="392"/>
      <c r="B84" s="393"/>
      <c r="C84" s="393"/>
      <c r="D84" s="393"/>
      <c r="E84" s="393"/>
      <c r="F84" s="394"/>
    </row>
    <row r="85" spans="1:6" ht="18.75" customHeight="1">
      <c r="A85" s="944" t="s">
        <v>448</v>
      </c>
      <c r="B85" s="945"/>
      <c r="C85" s="945"/>
      <c r="D85" s="945"/>
      <c r="E85" s="945"/>
      <c r="F85" s="946"/>
    </row>
    <row r="86" spans="1:6" ht="62.1" customHeight="1">
      <c r="A86" s="386" t="s">
        <v>434</v>
      </c>
      <c r="B86" s="387" t="s">
        <v>127</v>
      </c>
      <c r="C86" s="388" t="s">
        <v>244</v>
      </c>
      <c r="D86" s="389">
        <v>0.6</v>
      </c>
      <c r="E86" s="390">
        <v>0.28299999999999997</v>
      </c>
      <c r="F86" s="391"/>
    </row>
    <row r="87" spans="1:6" ht="62.1" customHeight="1">
      <c r="A87" s="386" t="s">
        <v>435</v>
      </c>
      <c r="B87" s="387" t="s">
        <v>144</v>
      </c>
      <c r="C87" s="388" t="s">
        <v>145</v>
      </c>
      <c r="D87" s="389" t="s">
        <v>245</v>
      </c>
      <c r="E87" s="390">
        <f>(0.25*0.45)*2</f>
        <v>0.22500000000000001</v>
      </c>
      <c r="F87" s="391">
        <v>2</v>
      </c>
    </row>
    <row r="88" spans="1:6" ht="18.75">
      <c r="A88" s="392"/>
      <c r="B88" s="393"/>
      <c r="C88" s="393"/>
      <c r="D88" s="393"/>
      <c r="E88" s="393"/>
      <c r="F88" s="394"/>
    </row>
    <row r="89" spans="1:6" ht="18.75" customHeight="1">
      <c r="A89" s="944" t="s">
        <v>449</v>
      </c>
      <c r="B89" s="945"/>
      <c r="C89" s="945"/>
      <c r="D89" s="945"/>
      <c r="E89" s="945"/>
      <c r="F89" s="946"/>
    </row>
    <row r="90" spans="1:6" ht="62.1" customHeight="1">
      <c r="A90" s="386" t="s">
        <v>437</v>
      </c>
      <c r="B90" s="387" t="s">
        <v>127</v>
      </c>
      <c r="C90" s="388" t="s">
        <v>244</v>
      </c>
      <c r="D90" s="389">
        <v>0.6</v>
      </c>
      <c r="E90" s="390">
        <v>0.28299999999999997</v>
      </c>
      <c r="F90" s="391"/>
    </row>
    <row r="91" spans="1:6" ht="62.1" customHeight="1">
      <c r="A91" s="386" t="s">
        <v>438</v>
      </c>
      <c r="B91" s="387" t="s">
        <v>144</v>
      </c>
      <c r="C91" s="388" t="s">
        <v>145</v>
      </c>
      <c r="D91" s="389" t="s">
        <v>245</v>
      </c>
      <c r="E91" s="390">
        <f>(0.25*0.45)*2</f>
        <v>0.22500000000000001</v>
      </c>
      <c r="F91" s="391">
        <v>2</v>
      </c>
    </row>
    <row r="92" spans="1:6" ht="18.75">
      <c r="A92" s="392"/>
      <c r="B92" s="393"/>
      <c r="C92" s="393"/>
      <c r="D92" s="393"/>
      <c r="E92" s="393"/>
      <c r="F92" s="394"/>
    </row>
    <row r="93" spans="1:6" ht="18.75" customHeight="1">
      <c r="A93" s="944" t="s">
        <v>450</v>
      </c>
      <c r="B93" s="945"/>
      <c r="C93" s="945"/>
      <c r="D93" s="945"/>
      <c r="E93" s="945"/>
      <c r="F93" s="946"/>
    </row>
    <row r="94" spans="1:6" ht="62.1" customHeight="1">
      <c r="A94" s="386" t="s">
        <v>437</v>
      </c>
      <c r="B94" s="387" t="s">
        <v>127</v>
      </c>
      <c r="C94" s="388" t="s">
        <v>244</v>
      </c>
      <c r="D94" s="389">
        <v>0.6</v>
      </c>
      <c r="E94" s="390">
        <v>0.28299999999999997</v>
      </c>
      <c r="F94" s="391"/>
    </row>
    <row r="95" spans="1:6" ht="62.1" customHeight="1">
      <c r="A95" s="386" t="s">
        <v>438</v>
      </c>
      <c r="B95" s="387" t="s">
        <v>144</v>
      </c>
      <c r="C95" s="388" t="s">
        <v>145</v>
      </c>
      <c r="D95" s="389" t="s">
        <v>245</v>
      </c>
      <c r="E95" s="390">
        <f>(0.25*0.45)*2</f>
        <v>0.22500000000000001</v>
      </c>
      <c r="F95" s="391">
        <v>2</v>
      </c>
    </row>
    <row r="96" spans="1:6" ht="18.75">
      <c r="A96" s="392"/>
      <c r="B96" s="393"/>
      <c r="C96" s="393"/>
      <c r="D96" s="393"/>
      <c r="E96" s="393"/>
      <c r="F96" s="394"/>
    </row>
    <row r="97" spans="1:7" ht="18.75" customHeight="1">
      <c r="A97" s="944" t="s">
        <v>451</v>
      </c>
      <c r="B97" s="945"/>
      <c r="C97" s="945"/>
      <c r="D97" s="945"/>
      <c r="E97" s="945"/>
      <c r="F97" s="946"/>
    </row>
    <row r="98" spans="1:7" ht="62.1" customHeight="1">
      <c r="A98" s="386" t="s">
        <v>441</v>
      </c>
      <c r="B98" s="387" t="s">
        <v>127</v>
      </c>
      <c r="C98" s="388" t="s">
        <v>244</v>
      </c>
      <c r="D98" s="389">
        <v>0.6</v>
      </c>
      <c r="E98" s="390">
        <v>0.28299999999999997</v>
      </c>
      <c r="F98" s="391"/>
    </row>
    <row r="99" spans="1:7" ht="62.1" customHeight="1">
      <c r="A99" s="386" t="s">
        <v>442</v>
      </c>
      <c r="B99" s="387" t="s">
        <v>144</v>
      </c>
      <c r="C99" s="388" t="s">
        <v>145</v>
      </c>
      <c r="D99" s="389" t="s">
        <v>245</v>
      </c>
      <c r="E99" s="390">
        <f>(0.25*0.45)*2</f>
        <v>0.22500000000000001</v>
      </c>
      <c r="F99" s="391">
        <v>2</v>
      </c>
    </row>
    <row r="100" spans="1:7" ht="18.75">
      <c r="A100" s="953"/>
      <c r="B100" s="954"/>
      <c r="C100" s="954"/>
      <c r="D100" s="954"/>
      <c r="E100" s="954"/>
      <c r="F100" s="955"/>
    </row>
    <row r="101" spans="1:7" ht="18.75" customHeight="1">
      <c r="A101" s="944" t="s">
        <v>452</v>
      </c>
      <c r="B101" s="945"/>
      <c r="C101" s="945"/>
      <c r="D101" s="945"/>
      <c r="E101" s="945"/>
      <c r="F101" s="946"/>
    </row>
    <row r="102" spans="1:7" ht="62.1" customHeight="1">
      <c r="A102" s="386" t="s">
        <v>445</v>
      </c>
      <c r="B102" s="387" t="s">
        <v>127</v>
      </c>
      <c r="C102" s="388" t="s">
        <v>244</v>
      </c>
      <c r="D102" s="389">
        <v>0.6</v>
      </c>
      <c r="E102" s="390">
        <v>0.28299999999999997</v>
      </c>
      <c r="F102" s="391"/>
    </row>
    <row r="103" spans="1:7" ht="62.1" customHeight="1">
      <c r="A103" s="386" t="s">
        <v>446</v>
      </c>
      <c r="B103" s="387" t="s">
        <v>144</v>
      </c>
      <c r="C103" s="388" t="s">
        <v>145</v>
      </c>
      <c r="D103" s="389" t="s">
        <v>245</v>
      </c>
      <c r="E103" s="390">
        <f>(0.25*0.45)*2</f>
        <v>0.22500000000000001</v>
      </c>
      <c r="F103" s="391">
        <v>2</v>
      </c>
    </row>
    <row r="104" spans="1:7" ht="18.75">
      <c r="A104" s="392"/>
      <c r="B104" s="393"/>
      <c r="C104" s="393"/>
      <c r="D104" s="393"/>
      <c r="E104" s="393"/>
      <c r="F104" s="394"/>
      <c r="G104" s="395"/>
    </row>
    <row r="105" spans="1:7" ht="18.75" customHeight="1">
      <c r="A105" s="944" t="s">
        <v>453</v>
      </c>
      <c r="B105" s="945"/>
      <c r="C105" s="945"/>
      <c r="D105" s="945"/>
      <c r="E105" s="945"/>
      <c r="F105" s="946"/>
    </row>
    <row r="106" spans="1:7" ht="62.1" customHeight="1">
      <c r="A106" s="386" t="s">
        <v>427</v>
      </c>
      <c r="B106" s="387" t="s">
        <v>127</v>
      </c>
      <c r="C106" s="388" t="s">
        <v>244</v>
      </c>
      <c r="D106" s="389">
        <v>0.6</v>
      </c>
      <c r="E106" s="390">
        <v>0.28299999999999997</v>
      </c>
      <c r="F106" s="391"/>
    </row>
    <row r="107" spans="1:7" ht="62.1" customHeight="1">
      <c r="A107" s="386" t="s">
        <v>428</v>
      </c>
      <c r="B107" s="387" t="s">
        <v>144</v>
      </c>
      <c r="C107" s="388" t="s">
        <v>145</v>
      </c>
      <c r="D107" s="389" t="s">
        <v>245</v>
      </c>
      <c r="E107" s="390">
        <f>(0.25*0.45)*2</f>
        <v>0.22500000000000001</v>
      </c>
      <c r="F107" s="391">
        <v>2</v>
      </c>
    </row>
    <row r="108" spans="1:7" ht="18.75">
      <c r="A108" s="392"/>
      <c r="B108" s="393"/>
      <c r="C108" s="393"/>
      <c r="D108" s="393"/>
      <c r="E108" s="393"/>
      <c r="F108" s="394"/>
    </row>
    <row r="109" spans="1:7" ht="18.75" customHeight="1">
      <c r="A109" s="944" t="s">
        <v>454</v>
      </c>
      <c r="B109" s="945"/>
      <c r="C109" s="945"/>
      <c r="D109" s="945"/>
      <c r="E109" s="945"/>
      <c r="F109" s="946"/>
    </row>
    <row r="110" spans="1:7" ht="62.1" customHeight="1">
      <c r="A110" s="386" t="s">
        <v>455</v>
      </c>
      <c r="B110" s="387" t="s">
        <v>127</v>
      </c>
      <c r="C110" s="388" t="s">
        <v>244</v>
      </c>
      <c r="D110" s="389">
        <v>0.6</v>
      </c>
      <c r="E110" s="390">
        <v>0.28299999999999997</v>
      </c>
      <c r="F110" s="391"/>
    </row>
    <row r="111" spans="1:7" ht="62.1" customHeight="1">
      <c r="A111" s="386" t="s">
        <v>456</v>
      </c>
      <c r="B111" s="387" t="s">
        <v>144</v>
      </c>
      <c r="C111" s="388" t="s">
        <v>145</v>
      </c>
      <c r="D111" s="389" t="s">
        <v>245</v>
      </c>
      <c r="E111" s="390">
        <f>(0.25*0.45)*2</f>
        <v>0.22500000000000001</v>
      </c>
      <c r="F111" s="391">
        <v>2</v>
      </c>
    </row>
    <row r="112" spans="1:7" ht="18.75">
      <c r="A112" s="392"/>
      <c r="B112" s="393"/>
      <c r="C112" s="393"/>
      <c r="D112" s="393"/>
      <c r="E112" s="393"/>
      <c r="F112" s="394"/>
    </row>
    <row r="113" spans="1:6" ht="18.75" customHeight="1">
      <c r="A113" s="944" t="s">
        <v>457</v>
      </c>
      <c r="B113" s="945"/>
      <c r="C113" s="945"/>
      <c r="D113" s="945"/>
      <c r="E113" s="945"/>
      <c r="F113" s="946"/>
    </row>
    <row r="114" spans="1:6" ht="62.1" customHeight="1">
      <c r="A114" s="386" t="s">
        <v>427</v>
      </c>
      <c r="B114" s="387" t="s">
        <v>127</v>
      </c>
      <c r="C114" s="388" t="s">
        <v>244</v>
      </c>
      <c r="D114" s="389">
        <v>0.6</v>
      </c>
      <c r="E114" s="390">
        <v>0.28299999999999997</v>
      </c>
      <c r="F114" s="391"/>
    </row>
    <row r="115" spans="1:6" ht="62.1" customHeight="1">
      <c r="A115" s="386" t="s">
        <v>428</v>
      </c>
      <c r="B115" s="387" t="s">
        <v>144</v>
      </c>
      <c r="C115" s="388" t="s">
        <v>145</v>
      </c>
      <c r="D115" s="389" t="s">
        <v>245</v>
      </c>
      <c r="E115" s="390">
        <f>(0.25*0.45)*2</f>
        <v>0.22500000000000001</v>
      </c>
      <c r="F115" s="391">
        <v>2</v>
      </c>
    </row>
    <row r="116" spans="1:6" ht="18.75">
      <c r="A116" s="392"/>
      <c r="B116" s="393"/>
      <c r="C116" s="393"/>
      <c r="D116" s="393"/>
      <c r="E116" s="393"/>
      <c r="F116" s="394"/>
    </row>
    <row r="117" spans="1:6" ht="18.75" customHeight="1">
      <c r="A117" s="944" t="s">
        <v>458</v>
      </c>
      <c r="B117" s="945"/>
      <c r="C117" s="945"/>
      <c r="D117" s="945"/>
      <c r="E117" s="945"/>
      <c r="F117" s="946"/>
    </row>
    <row r="118" spans="1:6" ht="62.1" customHeight="1">
      <c r="A118" s="386" t="s">
        <v>459</v>
      </c>
      <c r="B118" s="387" t="s">
        <v>127</v>
      </c>
      <c r="C118" s="388" t="s">
        <v>244</v>
      </c>
      <c r="D118" s="389">
        <v>0.6</v>
      </c>
      <c r="E118" s="390">
        <v>0.28299999999999997</v>
      </c>
      <c r="F118" s="391"/>
    </row>
    <row r="119" spans="1:6" ht="62.1" customHeight="1">
      <c r="A119" s="386" t="s">
        <v>460</v>
      </c>
      <c r="B119" s="387" t="s">
        <v>144</v>
      </c>
      <c r="C119" s="388" t="s">
        <v>145</v>
      </c>
      <c r="D119" s="389" t="s">
        <v>245</v>
      </c>
      <c r="E119" s="390">
        <f>(0.25*0.45)*2</f>
        <v>0.22500000000000001</v>
      </c>
      <c r="F119" s="391">
        <v>2</v>
      </c>
    </row>
    <row r="120" spans="1:6" ht="18.75">
      <c r="A120" s="392"/>
      <c r="B120" s="393"/>
      <c r="C120" s="393"/>
      <c r="D120" s="393"/>
      <c r="E120" s="393"/>
      <c r="F120" s="394"/>
    </row>
    <row r="121" spans="1:6" ht="18.75" customHeight="1">
      <c r="A121" s="944" t="s">
        <v>461</v>
      </c>
      <c r="B121" s="945"/>
      <c r="C121" s="945"/>
      <c r="D121" s="945"/>
      <c r="E121" s="945"/>
      <c r="F121" s="946"/>
    </row>
    <row r="122" spans="1:6" ht="62.1" customHeight="1">
      <c r="A122" s="386" t="s">
        <v>427</v>
      </c>
      <c r="B122" s="387" t="s">
        <v>127</v>
      </c>
      <c r="C122" s="388" t="s">
        <v>244</v>
      </c>
      <c r="D122" s="389">
        <v>0.6</v>
      </c>
      <c r="E122" s="390">
        <v>0.28299999999999997</v>
      </c>
      <c r="F122" s="391"/>
    </row>
    <row r="123" spans="1:6" ht="62.1" customHeight="1">
      <c r="A123" s="386" t="s">
        <v>428</v>
      </c>
      <c r="B123" s="387" t="s">
        <v>144</v>
      </c>
      <c r="C123" s="388" t="s">
        <v>145</v>
      </c>
      <c r="D123" s="389" t="s">
        <v>245</v>
      </c>
      <c r="E123" s="390">
        <f>(0.25*0.45)*2</f>
        <v>0.22500000000000001</v>
      </c>
      <c r="F123" s="391">
        <v>2</v>
      </c>
    </row>
    <row r="124" spans="1:6" ht="18.75">
      <c r="A124" s="392"/>
      <c r="B124" s="393"/>
      <c r="C124" s="393"/>
      <c r="D124" s="393"/>
      <c r="E124" s="393"/>
      <c r="F124" s="394"/>
    </row>
    <row r="125" spans="1:6" ht="18.75" customHeight="1">
      <c r="A125" s="944" t="s">
        <v>462</v>
      </c>
      <c r="B125" s="945"/>
      <c r="C125" s="945"/>
      <c r="D125" s="945"/>
      <c r="E125" s="945"/>
      <c r="F125" s="946"/>
    </row>
    <row r="126" spans="1:6" ht="62.1" customHeight="1">
      <c r="A126" s="386" t="s">
        <v>459</v>
      </c>
      <c r="B126" s="387" t="s">
        <v>127</v>
      </c>
      <c r="C126" s="388" t="s">
        <v>244</v>
      </c>
      <c r="D126" s="389">
        <v>0.6</v>
      </c>
      <c r="E126" s="390">
        <v>0.28299999999999997</v>
      </c>
      <c r="F126" s="391"/>
    </row>
    <row r="127" spans="1:6" ht="62.1" customHeight="1">
      <c r="A127" s="386" t="s">
        <v>460</v>
      </c>
      <c r="B127" s="387" t="s">
        <v>144</v>
      </c>
      <c r="C127" s="388" t="s">
        <v>145</v>
      </c>
      <c r="D127" s="389" t="s">
        <v>245</v>
      </c>
      <c r="E127" s="390">
        <f>(0.25*0.45)*2</f>
        <v>0.22500000000000001</v>
      </c>
      <c r="F127" s="391">
        <v>2</v>
      </c>
    </row>
    <row r="128" spans="1:6" ht="18.75">
      <c r="A128" s="392"/>
      <c r="B128" s="393"/>
      <c r="C128" s="393"/>
      <c r="D128" s="393"/>
      <c r="E128" s="393"/>
      <c r="F128" s="394"/>
    </row>
    <row r="129" spans="1:6" ht="18.75" customHeight="1">
      <c r="A129" s="944" t="s">
        <v>463</v>
      </c>
      <c r="B129" s="945"/>
      <c r="C129" s="945"/>
      <c r="D129" s="945"/>
      <c r="E129" s="945"/>
      <c r="F129" s="946"/>
    </row>
    <row r="130" spans="1:6" ht="62.1" customHeight="1">
      <c r="A130" s="386" t="s">
        <v>464</v>
      </c>
      <c r="B130" s="387" t="s">
        <v>127</v>
      </c>
      <c r="C130" s="388" t="s">
        <v>244</v>
      </c>
      <c r="D130" s="389">
        <v>0.6</v>
      </c>
      <c r="E130" s="390">
        <v>0.28299999999999997</v>
      </c>
      <c r="F130" s="391"/>
    </row>
    <row r="131" spans="1:6" ht="62.1" customHeight="1">
      <c r="A131" s="386" t="s">
        <v>465</v>
      </c>
      <c r="B131" s="387" t="s">
        <v>144</v>
      </c>
      <c r="C131" s="388" t="s">
        <v>145</v>
      </c>
      <c r="D131" s="389" t="s">
        <v>245</v>
      </c>
      <c r="E131" s="390">
        <f>(0.25*0.45)*2</f>
        <v>0.22500000000000001</v>
      </c>
      <c r="F131" s="391">
        <v>2</v>
      </c>
    </row>
    <row r="132" spans="1:6" ht="18.75">
      <c r="A132" s="392"/>
      <c r="B132" s="393"/>
      <c r="C132" s="393"/>
      <c r="D132" s="393"/>
      <c r="E132" s="393"/>
      <c r="F132" s="394"/>
    </row>
    <row r="133" spans="1:6" ht="18.75" customHeight="1">
      <c r="A133" s="944" t="s">
        <v>466</v>
      </c>
      <c r="B133" s="945"/>
      <c r="C133" s="945"/>
      <c r="D133" s="945"/>
      <c r="E133" s="945"/>
      <c r="F133" s="946"/>
    </row>
    <row r="134" spans="1:6" ht="62.1" customHeight="1">
      <c r="A134" s="386" t="s">
        <v>455</v>
      </c>
      <c r="B134" s="387" t="s">
        <v>127</v>
      </c>
      <c r="C134" s="388" t="s">
        <v>244</v>
      </c>
      <c r="D134" s="389">
        <v>0.6</v>
      </c>
      <c r="E134" s="390">
        <v>0.28299999999999997</v>
      </c>
      <c r="F134" s="391"/>
    </row>
    <row r="135" spans="1:6" ht="62.1" customHeight="1">
      <c r="A135" s="386" t="s">
        <v>456</v>
      </c>
      <c r="B135" s="387" t="s">
        <v>144</v>
      </c>
      <c r="C135" s="388" t="s">
        <v>145</v>
      </c>
      <c r="D135" s="389" t="s">
        <v>245</v>
      </c>
      <c r="E135" s="390">
        <f>(0.25*0.45)*2</f>
        <v>0.22500000000000001</v>
      </c>
      <c r="F135" s="391">
        <v>2</v>
      </c>
    </row>
    <row r="136" spans="1:6" ht="18.75">
      <c r="A136" s="392"/>
      <c r="B136" s="393"/>
      <c r="C136" s="393"/>
      <c r="D136" s="393"/>
      <c r="E136" s="393"/>
      <c r="F136" s="394"/>
    </row>
    <row r="137" spans="1:6" ht="18.75" customHeight="1">
      <c r="A137" s="944" t="s">
        <v>467</v>
      </c>
      <c r="B137" s="945"/>
      <c r="C137" s="945"/>
      <c r="D137" s="945"/>
      <c r="E137" s="945"/>
      <c r="F137" s="946"/>
    </row>
    <row r="138" spans="1:6" ht="62.1" customHeight="1">
      <c r="A138" s="386" t="s">
        <v>468</v>
      </c>
      <c r="B138" s="387" t="s">
        <v>127</v>
      </c>
      <c r="C138" s="388" t="s">
        <v>244</v>
      </c>
      <c r="D138" s="389">
        <v>0.6</v>
      </c>
      <c r="E138" s="390">
        <v>0.28299999999999997</v>
      </c>
      <c r="F138" s="391"/>
    </row>
    <row r="139" spans="1:6" ht="62.1" customHeight="1">
      <c r="A139" s="386" t="s">
        <v>469</v>
      </c>
      <c r="B139" s="387" t="s">
        <v>144</v>
      </c>
      <c r="C139" s="388" t="s">
        <v>145</v>
      </c>
      <c r="D139" s="389" t="s">
        <v>245</v>
      </c>
      <c r="E139" s="390">
        <f>(0.25*0.45)*2</f>
        <v>0.22500000000000001</v>
      </c>
      <c r="F139" s="391">
        <v>2</v>
      </c>
    </row>
    <row r="140" spans="1:6" ht="18.75">
      <c r="A140" s="392"/>
      <c r="B140" s="393"/>
      <c r="C140" s="393"/>
      <c r="D140" s="393"/>
      <c r="E140" s="393"/>
      <c r="F140" s="394"/>
    </row>
    <row r="141" spans="1:6" ht="18.75" customHeight="1">
      <c r="A141" s="944" t="s">
        <v>470</v>
      </c>
      <c r="B141" s="945"/>
      <c r="C141" s="945"/>
      <c r="D141" s="945"/>
      <c r="E141" s="945"/>
      <c r="F141" s="946"/>
    </row>
    <row r="142" spans="1:6" ht="62.1" customHeight="1">
      <c r="A142" s="386" t="s">
        <v>414</v>
      </c>
      <c r="B142" s="387" t="s">
        <v>127</v>
      </c>
      <c r="C142" s="388" t="s">
        <v>244</v>
      </c>
      <c r="D142" s="389">
        <v>0.6</v>
      </c>
      <c r="E142" s="390">
        <v>0.28299999999999997</v>
      </c>
      <c r="F142" s="391"/>
    </row>
    <row r="143" spans="1:6" ht="62.1" customHeight="1">
      <c r="A143" s="386" t="s">
        <v>415</v>
      </c>
      <c r="B143" s="387" t="s">
        <v>144</v>
      </c>
      <c r="C143" s="388" t="s">
        <v>145</v>
      </c>
      <c r="D143" s="389" t="s">
        <v>245</v>
      </c>
      <c r="E143" s="390">
        <f>(0.25*0.45)*2</f>
        <v>0.22500000000000001</v>
      </c>
      <c r="F143" s="391">
        <v>2</v>
      </c>
    </row>
    <row r="144" spans="1:6" ht="18.75">
      <c r="A144" s="396"/>
      <c r="B144" s="397"/>
      <c r="C144" s="397"/>
      <c r="D144" s="397"/>
      <c r="E144" s="397"/>
      <c r="F144" s="398"/>
    </row>
    <row r="145" spans="1:6" ht="19.5">
      <c r="A145" s="399" t="s">
        <v>278</v>
      </c>
      <c r="B145" s="400"/>
      <c r="C145" s="400"/>
      <c r="D145" s="401" t="s">
        <v>279</v>
      </c>
      <c r="E145" s="429">
        <f>E10+E6+E122+E118+E114+E110+E106+E102+E98+E94+E90+E86+E82+E78+E74+E70+E66+E62+E18+E14+E22+E58+E54+E50+E46+E42+E38+E34+E30+E26+E126+E130+E134+E138+E142</f>
        <v>9.9050000000000011</v>
      </c>
      <c r="F145" s="402"/>
    </row>
    <row r="146" spans="1:6" ht="20.25" thickBot="1">
      <c r="A146" s="403" t="s">
        <v>280</v>
      </c>
      <c r="B146" s="404"/>
      <c r="C146" s="404"/>
      <c r="D146" s="405" t="s">
        <v>279</v>
      </c>
      <c r="E146" s="430">
        <f>SUM(F6:F143)</f>
        <v>70</v>
      </c>
      <c r="F146" s="406"/>
    </row>
    <row r="148" spans="1:6">
      <c r="E148" s="381"/>
    </row>
    <row r="149" spans="1:6">
      <c r="E149" s="255"/>
    </row>
    <row r="150" spans="1:6">
      <c r="E150" s="407"/>
    </row>
    <row r="151" spans="1:6">
      <c r="E151" s="408"/>
    </row>
    <row r="152" spans="1:6">
      <c r="E152" s="407"/>
    </row>
    <row r="153" spans="1:6">
      <c r="E153" s="408"/>
    </row>
    <row r="155" spans="1:6">
      <c r="E155" s="381"/>
    </row>
    <row r="157" spans="1:6">
      <c r="E157" s="408"/>
    </row>
  </sheetData>
  <mergeCells count="55">
    <mergeCell ref="A125:F125"/>
    <mergeCell ref="A129:F129"/>
    <mergeCell ref="A133:F133"/>
    <mergeCell ref="A137:F137"/>
    <mergeCell ref="A141:F141"/>
    <mergeCell ref="A121:F121"/>
    <mergeCell ref="A81:F81"/>
    <mergeCell ref="A85:F85"/>
    <mergeCell ref="A89:F89"/>
    <mergeCell ref="A93:F93"/>
    <mergeCell ref="A97:F97"/>
    <mergeCell ref="A100:F100"/>
    <mergeCell ref="A101:F101"/>
    <mergeCell ref="A105:F105"/>
    <mergeCell ref="A109:F109"/>
    <mergeCell ref="A113:F113"/>
    <mergeCell ref="A117:F117"/>
    <mergeCell ref="A72:F72"/>
    <mergeCell ref="A73:F73"/>
    <mergeCell ref="A76:F76"/>
    <mergeCell ref="A77:F77"/>
    <mergeCell ref="A80:F80"/>
    <mergeCell ref="A61:F61"/>
    <mergeCell ref="A64:F64"/>
    <mergeCell ref="A65:F65"/>
    <mergeCell ref="A68:F68"/>
    <mergeCell ref="A69:F69"/>
    <mergeCell ref="A56:F56"/>
    <mergeCell ref="A41:F41"/>
    <mergeCell ref="A45:F45"/>
    <mergeCell ref="A57:F57"/>
    <mergeCell ref="A60:F60"/>
    <mergeCell ref="A40:F40"/>
    <mergeCell ref="A44:F44"/>
    <mergeCell ref="A49:F49"/>
    <mergeCell ref="A52:F52"/>
    <mergeCell ref="A53:F53"/>
    <mergeCell ref="A29:F29"/>
    <mergeCell ref="A33:F33"/>
    <mergeCell ref="A37:F37"/>
    <mergeCell ref="A20:F20"/>
    <mergeCell ref="A21:F21"/>
    <mergeCell ref="A24:F24"/>
    <mergeCell ref="A25:F25"/>
    <mergeCell ref="A28:F28"/>
    <mergeCell ref="A32:F32"/>
    <mergeCell ref="A36:F36"/>
    <mergeCell ref="A16:F16"/>
    <mergeCell ref="A17:F17"/>
    <mergeCell ref="A5:F5"/>
    <mergeCell ref="A1:F2"/>
    <mergeCell ref="A8:F8"/>
    <mergeCell ref="A9:F9"/>
    <mergeCell ref="A12:F12"/>
    <mergeCell ref="A13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>
      <selection activeCell="D18" sqref="D18"/>
    </sheetView>
  </sheetViews>
  <sheetFormatPr defaultRowHeight="12.75"/>
  <cols>
    <col min="1" max="1" width="3.42578125" bestFit="1" customWidth="1"/>
    <col min="2" max="2" width="11.42578125" bestFit="1" customWidth="1"/>
    <col min="3" max="3" width="68.5703125" bestFit="1" customWidth="1"/>
    <col min="4" max="4" width="34.28515625" bestFit="1" customWidth="1"/>
    <col min="5" max="5" width="11.42578125" bestFit="1" customWidth="1"/>
    <col min="6" max="6" width="14.5703125" customWidth="1"/>
    <col min="7" max="7" width="13.7109375" bestFit="1" customWidth="1"/>
    <col min="8" max="8" width="15.140625" customWidth="1"/>
  </cols>
  <sheetData>
    <row r="1" spans="1:11" ht="13.5">
      <c r="A1" s="960" t="s">
        <v>256</v>
      </c>
      <c r="B1" s="961"/>
      <c r="C1" s="961"/>
      <c r="D1" s="961"/>
      <c r="E1" s="961"/>
      <c r="F1" s="961"/>
      <c r="G1" s="961"/>
      <c r="H1" s="962"/>
    </row>
    <row r="2" spans="1:11">
      <c r="A2" s="956" t="s">
        <v>257</v>
      </c>
      <c r="B2" s="957"/>
      <c r="C2" s="957" t="s">
        <v>258</v>
      </c>
      <c r="D2" s="958"/>
      <c r="E2" s="958"/>
      <c r="F2" s="958"/>
      <c r="G2" s="958"/>
      <c r="H2" s="959"/>
      <c r="K2" s="43"/>
    </row>
    <row r="3" spans="1:11" ht="28.5" customHeight="1">
      <c r="A3" s="956" t="s">
        <v>259</v>
      </c>
      <c r="B3" s="957"/>
      <c r="C3" s="957" t="s">
        <v>260</v>
      </c>
      <c r="D3" s="958"/>
      <c r="E3" s="958"/>
      <c r="F3" s="958"/>
      <c r="G3" s="958"/>
      <c r="H3" s="959"/>
    </row>
    <row r="4" spans="1:11">
      <c r="A4" s="956" t="s">
        <v>261</v>
      </c>
      <c r="B4" s="957"/>
      <c r="C4" s="957" t="s">
        <v>588</v>
      </c>
      <c r="D4" s="958"/>
      <c r="E4" s="958"/>
      <c r="F4" s="958"/>
      <c r="G4" s="958"/>
      <c r="H4" s="959"/>
    </row>
    <row r="5" spans="1:11">
      <c r="A5" s="956" t="s">
        <v>262</v>
      </c>
      <c r="B5" s="957"/>
      <c r="C5" s="957" t="s">
        <v>263</v>
      </c>
      <c r="D5" s="958"/>
      <c r="E5" s="958"/>
      <c r="F5" s="958"/>
      <c r="G5" s="958"/>
      <c r="H5" s="959"/>
    </row>
    <row r="6" spans="1:11">
      <c r="A6" s="956" t="s">
        <v>264</v>
      </c>
      <c r="B6" s="957"/>
      <c r="C6" s="957" t="s">
        <v>265</v>
      </c>
      <c r="D6" s="958"/>
      <c r="E6" s="958"/>
      <c r="F6" s="958"/>
      <c r="G6" s="958"/>
      <c r="H6" s="959"/>
    </row>
    <row r="7" spans="1:11">
      <c r="A7" s="956" t="s">
        <v>266</v>
      </c>
      <c r="B7" s="957"/>
      <c r="C7" s="957" t="s">
        <v>267</v>
      </c>
      <c r="D7" s="958"/>
      <c r="E7" s="958"/>
      <c r="F7" s="958"/>
      <c r="G7" s="958"/>
      <c r="H7" s="959"/>
    </row>
    <row r="8" spans="1:11" ht="30">
      <c r="A8" s="35"/>
      <c r="B8" s="36" t="s">
        <v>268</v>
      </c>
      <c r="C8" s="36" t="s">
        <v>259</v>
      </c>
      <c r="D8" s="36" t="s">
        <v>264</v>
      </c>
      <c r="E8" s="36" t="s">
        <v>266</v>
      </c>
      <c r="F8" s="36" t="s">
        <v>269</v>
      </c>
      <c r="G8" s="36" t="s">
        <v>270</v>
      </c>
      <c r="H8" s="37" t="s">
        <v>269</v>
      </c>
    </row>
    <row r="9" spans="1:11" ht="26.25" thickBot="1">
      <c r="A9" s="38" t="s">
        <v>252</v>
      </c>
      <c r="B9" s="39" t="s">
        <v>271</v>
      </c>
      <c r="C9" s="40" t="s">
        <v>272</v>
      </c>
      <c r="D9" s="39" t="s">
        <v>273</v>
      </c>
      <c r="E9" s="39" t="s">
        <v>267</v>
      </c>
      <c r="F9" s="41">
        <v>457.03</v>
      </c>
      <c r="G9" s="39" t="s">
        <v>274</v>
      </c>
      <c r="H9" s="42">
        <f>G9*F9</f>
        <v>457.03</v>
      </c>
    </row>
  </sheetData>
  <mergeCells count="13">
    <mergeCell ref="A4:B4"/>
    <mergeCell ref="C4:H4"/>
    <mergeCell ref="A1:H1"/>
    <mergeCell ref="A2:B2"/>
    <mergeCell ref="C2:H2"/>
    <mergeCell ref="A3:B3"/>
    <mergeCell ref="C3:H3"/>
    <mergeCell ref="A5:B5"/>
    <mergeCell ref="C5:H5"/>
    <mergeCell ref="A6:B6"/>
    <mergeCell ref="C6:H6"/>
    <mergeCell ref="A7:B7"/>
    <mergeCell ref="C7:H7"/>
  </mergeCells>
  <pageMargins left="0.511811024" right="0.511811024" top="0.78740157499999996" bottom="0.78740157499999996" header="0.31496062000000002" footer="0.31496062000000002"/>
  <ignoredErrors>
    <ignoredError sqref="G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23"/>
  <sheetViews>
    <sheetView zoomScale="90" zoomScaleNormal="90" workbookViewId="0">
      <selection activeCell="Z511" sqref="Z511"/>
    </sheetView>
  </sheetViews>
  <sheetFormatPr defaultColWidth="9.140625" defaultRowHeight="12.75"/>
  <cols>
    <col min="1" max="1" width="9.140625" style="434"/>
    <col min="2" max="2" width="1" style="476" customWidth="1"/>
    <col min="3" max="3" width="6.140625" style="476" customWidth="1"/>
    <col min="4" max="4" width="2.140625" style="477" customWidth="1"/>
    <col min="5" max="5" width="18.42578125" style="477" customWidth="1"/>
    <col min="6" max="6" width="0.85546875" style="477" customWidth="1"/>
    <col min="7" max="7" width="15.42578125" style="477" customWidth="1"/>
    <col min="8" max="8" width="10.140625" style="477" customWidth="1"/>
    <col min="9" max="9" width="3.140625" style="477" customWidth="1"/>
    <col min="10" max="10" width="8.140625" style="477" customWidth="1"/>
    <col min="11" max="11" width="1" style="476" customWidth="1"/>
    <col min="12" max="12" width="8.140625" style="476" customWidth="1"/>
    <col min="13" max="14" width="1" style="476" customWidth="1"/>
    <col min="15" max="15" width="7.5703125" style="476" customWidth="1"/>
    <col min="16" max="17" width="1" style="476" customWidth="1"/>
    <col min="18" max="19" width="2" style="476" customWidth="1"/>
    <col min="20" max="20" width="1" style="476" customWidth="1"/>
    <col min="21" max="21" width="6.140625" style="476" customWidth="1"/>
    <col min="22" max="22" width="1" style="476" customWidth="1"/>
    <col min="23" max="16384" width="9.140625" style="434"/>
  </cols>
  <sheetData>
    <row r="2" spans="2:22" s="508" customFormat="1" ht="17.45" customHeight="1">
      <c r="B2" s="530"/>
      <c r="C2" s="999" t="s">
        <v>617</v>
      </c>
      <c r="D2" s="999"/>
      <c r="E2" s="999"/>
      <c r="F2" s="505"/>
      <c r="G2" s="1000" t="s">
        <v>821</v>
      </c>
      <c r="H2" s="1000"/>
      <c r="I2" s="1000"/>
      <c r="J2" s="1000"/>
      <c r="K2" s="1000"/>
      <c r="L2" s="1000"/>
      <c r="M2" s="506"/>
      <c r="N2" s="1000" t="s">
        <v>618</v>
      </c>
      <c r="O2" s="1000"/>
      <c r="P2" s="1000"/>
      <c r="Q2" s="1000"/>
      <c r="R2" s="1000"/>
      <c r="S2" s="1000"/>
      <c r="T2" s="1000"/>
      <c r="U2" s="1000"/>
      <c r="V2" s="507"/>
    </row>
    <row r="3" spans="2:22" s="508" customFormat="1" ht="17.45" customHeight="1">
      <c r="B3" s="509"/>
      <c r="C3" s="1001" t="s">
        <v>619</v>
      </c>
      <c r="D3" s="1001"/>
      <c r="E3" s="1003" t="s">
        <v>150</v>
      </c>
      <c r="F3" s="1003"/>
      <c r="G3" s="1003"/>
      <c r="H3" s="1003"/>
      <c r="I3" s="1003"/>
      <c r="J3" s="1003"/>
      <c r="K3" s="1005" t="s">
        <v>620</v>
      </c>
      <c r="L3" s="1005"/>
      <c r="M3" s="510"/>
      <c r="N3" s="1006" t="s">
        <v>621</v>
      </c>
      <c r="O3" s="1006"/>
      <c r="P3" s="1006"/>
      <c r="Q3" s="510"/>
      <c r="R3" s="510"/>
      <c r="S3" s="510"/>
      <c r="T3" s="510"/>
      <c r="U3" s="510"/>
      <c r="V3" s="511"/>
    </row>
    <row r="4" spans="2:22" s="508" customFormat="1" ht="17.45" customHeight="1">
      <c r="B4" s="512"/>
      <c r="C4" s="1002"/>
      <c r="D4" s="1002"/>
      <c r="E4" s="1004"/>
      <c r="F4" s="1004"/>
      <c r="G4" s="1004"/>
      <c r="H4" s="1004"/>
      <c r="I4" s="1004"/>
      <c r="J4" s="1004"/>
      <c r="K4" s="1007" t="s">
        <v>622</v>
      </c>
      <c r="L4" s="1007"/>
      <c r="M4" s="513"/>
      <c r="N4" s="1008">
        <v>1</v>
      </c>
      <c r="O4" s="1008"/>
      <c r="P4" s="1008"/>
      <c r="Q4" s="513"/>
      <c r="R4" s="1007" t="s">
        <v>623</v>
      </c>
      <c r="S4" s="1007"/>
      <c r="T4" s="513"/>
      <c r="U4" s="514" t="s">
        <v>624</v>
      </c>
      <c r="V4" s="515"/>
    </row>
    <row r="5" spans="2:22" s="508" customFormat="1" ht="17.45" customHeight="1">
      <c r="B5" s="997" t="s">
        <v>625</v>
      </c>
      <c r="C5" s="997"/>
      <c r="D5" s="998" t="s">
        <v>259</v>
      </c>
      <c r="E5" s="998"/>
      <c r="F5" s="998"/>
      <c r="G5" s="998"/>
      <c r="H5" s="998"/>
      <c r="I5" s="998"/>
      <c r="J5" s="997" t="s">
        <v>266</v>
      </c>
      <c r="K5" s="997"/>
      <c r="L5" s="997" t="s">
        <v>270</v>
      </c>
      <c r="M5" s="997"/>
      <c r="N5" s="997"/>
      <c r="O5" s="998" t="s">
        <v>626</v>
      </c>
      <c r="P5" s="998"/>
      <c r="Q5" s="998"/>
      <c r="R5" s="998"/>
      <c r="S5" s="998" t="s">
        <v>627</v>
      </c>
      <c r="T5" s="998"/>
      <c r="U5" s="998"/>
      <c r="V5" s="998"/>
    </row>
    <row r="6" spans="2:22" s="508" customFormat="1" ht="17.45" customHeight="1">
      <c r="B6" s="516"/>
      <c r="C6" s="517" t="s">
        <v>628</v>
      </c>
      <c r="D6" s="971" t="s">
        <v>629</v>
      </c>
      <c r="E6" s="972"/>
      <c r="F6" s="972"/>
      <c r="G6" s="972"/>
      <c r="H6" s="972"/>
      <c r="I6" s="973"/>
      <c r="J6" s="974" t="s">
        <v>630</v>
      </c>
      <c r="K6" s="975"/>
      <c r="L6" s="976">
        <v>0.01</v>
      </c>
      <c r="M6" s="977"/>
      <c r="N6" s="978"/>
      <c r="O6" s="979">
        <v>310.35000000000002</v>
      </c>
      <c r="P6" s="980"/>
      <c r="Q6" s="980"/>
      <c r="R6" s="981"/>
      <c r="S6" s="982">
        <f>O6*L6</f>
        <v>3.1035000000000004</v>
      </c>
      <c r="T6" s="983"/>
      <c r="U6" s="983"/>
      <c r="V6" s="984"/>
    </row>
    <row r="7" spans="2:22" s="508" customFormat="1" ht="17.45" customHeight="1">
      <c r="B7" s="518"/>
      <c r="C7" s="519">
        <v>88262</v>
      </c>
      <c r="D7" s="985" t="s">
        <v>632</v>
      </c>
      <c r="E7" s="986"/>
      <c r="F7" s="986"/>
      <c r="G7" s="986"/>
      <c r="H7" s="986"/>
      <c r="I7" s="987"/>
      <c r="J7" s="988" t="s">
        <v>633</v>
      </c>
      <c r="K7" s="989"/>
      <c r="L7" s="990">
        <v>1</v>
      </c>
      <c r="M7" s="991"/>
      <c r="N7" s="992"/>
      <c r="O7" s="993">
        <v>20.85</v>
      </c>
      <c r="P7" s="994"/>
      <c r="Q7" s="994"/>
      <c r="R7" s="995"/>
      <c r="S7" s="996">
        <f t="shared" ref="S7:S12" si="0">O7*L7</f>
        <v>20.85</v>
      </c>
      <c r="T7" s="963"/>
      <c r="U7" s="963"/>
      <c r="V7" s="964"/>
    </row>
    <row r="8" spans="2:22" s="508" customFormat="1" ht="17.45" customHeight="1">
      <c r="B8" s="518"/>
      <c r="C8" s="519">
        <v>88316</v>
      </c>
      <c r="D8" s="985" t="s">
        <v>635</v>
      </c>
      <c r="E8" s="986"/>
      <c r="F8" s="986"/>
      <c r="G8" s="986"/>
      <c r="H8" s="986"/>
      <c r="I8" s="987"/>
      <c r="J8" s="988" t="s">
        <v>633</v>
      </c>
      <c r="K8" s="989"/>
      <c r="L8" s="990">
        <v>2</v>
      </c>
      <c r="M8" s="991"/>
      <c r="N8" s="992"/>
      <c r="O8" s="993">
        <v>16.829999999999998</v>
      </c>
      <c r="P8" s="994"/>
      <c r="Q8" s="994"/>
      <c r="R8" s="995"/>
      <c r="S8" s="996">
        <f t="shared" si="0"/>
        <v>33.659999999999997</v>
      </c>
      <c r="T8" s="963"/>
      <c r="U8" s="963"/>
      <c r="V8" s="964"/>
    </row>
    <row r="9" spans="2:22" s="508" customFormat="1" ht="17.45" customHeight="1">
      <c r="B9" s="518"/>
      <c r="C9" s="519" t="s">
        <v>636</v>
      </c>
      <c r="D9" s="985" t="s">
        <v>637</v>
      </c>
      <c r="E9" s="986"/>
      <c r="F9" s="986"/>
      <c r="G9" s="986"/>
      <c r="H9" s="986"/>
      <c r="I9" s="987"/>
      <c r="J9" s="988" t="s">
        <v>638</v>
      </c>
      <c r="K9" s="989"/>
      <c r="L9" s="990">
        <v>1</v>
      </c>
      <c r="M9" s="991"/>
      <c r="N9" s="992"/>
      <c r="O9" s="993">
        <v>4.8899999999999997</v>
      </c>
      <c r="P9" s="994"/>
      <c r="Q9" s="994"/>
      <c r="R9" s="995"/>
      <c r="S9" s="996">
        <f t="shared" si="0"/>
        <v>4.8899999999999997</v>
      </c>
      <c r="T9" s="963"/>
      <c r="U9" s="963"/>
      <c r="V9" s="964"/>
    </row>
    <row r="10" spans="2:22" s="508" customFormat="1" ht="17.45" customHeight="1">
      <c r="B10" s="518"/>
      <c r="C10" s="519">
        <v>4491</v>
      </c>
      <c r="D10" s="985" t="s">
        <v>640</v>
      </c>
      <c r="E10" s="986"/>
      <c r="F10" s="986"/>
      <c r="G10" s="986"/>
      <c r="H10" s="986"/>
      <c r="I10" s="987"/>
      <c r="J10" s="988" t="s">
        <v>638</v>
      </c>
      <c r="K10" s="989"/>
      <c r="L10" s="990">
        <v>4</v>
      </c>
      <c r="M10" s="991"/>
      <c r="N10" s="992"/>
      <c r="O10" s="993">
        <v>9.0399999999999991</v>
      </c>
      <c r="P10" s="994"/>
      <c r="Q10" s="994"/>
      <c r="R10" s="995"/>
      <c r="S10" s="996">
        <f t="shared" si="0"/>
        <v>36.159999999999997</v>
      </c>
      <c r="T10" s="963"/>
      <c r="U10" s="963"/>
      <c r="V10" s="964"/>
    </row>
    <row r="11" spans="2:22" s="508" customFormat="1" ht="17.45" customHeight="1">
      <c r="B11" s="518"/>
      <c r="C11" s="519" t="s">
        <v>641</v>
      </c>
      <c r="D11" s="985" t="s">
        <v>642</v>
      </c>
      <c r="E11" s="986"/>
      <c r="F11" s="986"/>
      <c r="G11" s="986"/>
      <c r="H11" s="986"/>
      <c r="I11" s="987"/>
      <c r="J11" s="988" t="s">
        <v>624</v>
      </c>
      <c r="K11" s="989"/>
      <c r="L11" s="990">
        <v>1</v>
      </c>
      <c r="M11" s="991"/>
      <c r="N11" s="992"/>
      <c r="O11" s="993">
        <v>225</v>
      </c>
      <c r="P11" s="994"/>
      <c r="Q11" s="994"/>
      <c r="R11" s="995"/>
      <c r="S11" s="996">
        <f t="shared" si="0"/>
        <v>225</v>
      </c>
      <c r="T11" s="963"/>
      <c r="U11" s="963"/>
      <c r="V11" s="964"/>
    </row>
    <row r="12" spans="2:22" s="508" customFormat="1" ht="17.45" customHeight="1">
      <c r="B12" s="520"/>
      <c r="C12" s="519">
        <v>5075</v>
      </c>
      <c r="D12" s="1013" t="s">
        <v>643</v>
      </c>
      <c r="E12" s="1014"/>
      <c r="F12" s="1014"/>
      <c r="G12" s="1014"/>
      <c r="H12" s="1014"/>
      <c r="I12" s="1015"/>
      <c r="J12" s="1016" t="s">
        <v>644</v>
      </c>
      <c r="K12" s="1017"/>
      <c r="L12" s="1018">
        <v>0.11</v>
      </c>
      <c r="M12" s="1019"/>
      <c r="N12" s="1020"/>
      <c r="O12" s="1021">
        <v>24.41</v>
      </c>
      <c r="P12" s="1022"/>
      <c r="Q12" s="1022"/>
      <c r="R12" s="1023"/>
      <c r="S12" s="1024">
        <f t="shared" si="0"/>
        <v>2.6850999999999998</v>
      </c>
      <c r="T12" s="1025"/>
      <c r="U12" s="1025"/>
      <c r="V12" s="1026"/>
    </row>
    <row r="13" spans="2:22" s="508" customFormat="1" ht="17.45" customHeight="1">
      <c r="B13" s="965"/>
      <c r="C13" s="1027"/>
      <c r="D13" s="1027"/>
      <c r="E13" s="1027"/>
      <c r="F13" s="1027"/>
      <c r="G13" s="1027"/>
      <c r="H13" s="1027"/>
      <c r="I13" s="966" t="s">
        <v>645</v>
      </c>
      <c r="J13" s="966"/>
      <c r="K13" s="966"/>
      <c r="L13" s="966"/>
      <c r="M13" s="966"/>
      <c r="N13" s="966"/>
      <c r="O13" s="966"/>
      <c r="P13" s="966"/>
      <c r="Q13" s="966"/>
      <c r="R13" s="966"/>
      <c r="S13" s="1028">
        <f>SUM(S6:V12)</f>
        <v>326.34859999999998</v>
      </c>
      <c r="T13" s="1028"/>
      <c r="U13" s="1028"/>
      <c r="V13" s="1029"/>
    </row>
    <row r="14" spans="2:22" s="508" customFormat="1" ht="17.45" customHeight="1">
      <c r="B14" s="1009"/>
      <c r="C14" s="1010"/>
      <c r="D14" s="1010"/>
      <c r="E14" s="1010"/>
      <c r="F14" s="1010"/>
      <c r="G14" s="1010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1"/>
    </row>
    <row r="15" spans="2:22" s="508" customFormat="1" ht="17.45" customHeight="1">
      <c r="B15" s="968"/>
      <c r="C15" s="1012"/>
      <c r="D15" s="1012"/>
      <c r="E15" s="1012"/>
      <c r="F15" s="1012"/>
      <c r="G15" s="1012"/>
      <c r="H15" s="1012"/>
      <c r="I15" s="969" t="s">
        <v>646</v>
      </c>
      <c r="J15" s="969"/>
      <c r="K15" s="969"/>
      <c r="L15" s="969"/>
      <c r="M15" s="969"/>
      <c r="N15" s="969"/>
      <c r="O15" s="969"/>
      <c r="P15" s="969"/>
      <c r="Q15" s="969"/>
      <c r="R15" s="969"/>
      <c r="S15" s="963">
        <f>S13</f>
        <v>326.34859999999998</v>
      </c>
      <c r="T15" s="963"/>
      <c r="U15" s="963"/>
      <c r="V15" s="964"/>
    </row>
    <row r="16" spans="2:22" s="508" customFormat="1" ht="17.45" customHeight="1">
      <c r="B16" s="968"/>
      <c r="C16" s="1012"/>
      <c r="D16" s="1012"/>
      <c r="E16" s="1012"/>
      <c r="F16" s="1012"/>
      <c r="G16" s="1012"/>
      <c r="H16" s="969" t="s">
        <v>647</v>
      </c>
      <c r="I16" s="969"/>
      <c r="J16" s="969"/>
      <c r="K16" s="969"/>
      <c r="L16" s="969"/>
      <c r="M16" s="970">
        <v>20.7</v>
      </c>
      <c r="N16" s="970"/>
      <c r="O16" s="970"/>
      <c r="P16" s="969" t="s">
        <v>648</v>
      </c>
      <c r="Q16" s="969"/>
      <c r="R16" s="969"/>
      <c r="S16" s="963">
        <f>S15*M16%</f>
        <v>67.554160199999998</v>
      </c>
      <c r="T16" s="963"/>
      <c r="U16" s="963"/>
      <c r="V16" s="964"/>
    </row>
    <row r="17" spans="2:22" s="508" customFormat="1" ht="17.45" customHeight="1">
      <c r="B17" s="968"/>
      <c r="C17" s="1012"/>
      <c r="D17" s="1012"/>
      <c r="E17" s="1012"/>
      <c r="F17" s="1012"/>
      <c r="G17" s="1012"/>
      <c r="H17" s="1012"/>
      <c r="I17" s="969" t="s">
        <v>649</v>
      </c>
      <c r="J17" s="969"/>
      <c r="K17" s="969"/>
      <c r="L17" s="969"/>
      <c r="M17" s="969"/>
      <c r="N17" s="969"/>
      <c r="O17" s="969"/>
      <c r="P17" s="969"/>
      <c r="Q17" s="969"/>
      <c r="R17" s="969"/>
      <c r="S17" s="963">
        <f>S15+S16</f>
        <v>393.90276019999999</v>
      </c>
      <c r="T17" s="963"/>
      <c r="U17" s="963"/>
      <c r="V17" s="964"/>
    </row>
    <row r="18" spans="2:22" s="508" customFormat="1" ht="144.94999999999999" customHeight="1">
      <c r="B18" s="522"/>
      <c r="C18" s="523"/>
      <c r="D18" s="524"/>
      <c r="E18" s="524"/>
      <c r="F18" s="524"/>
      <c r="G18" s="524"/>
      <c r="H18" s="524"/>
      <c r="I18" s="524"/>
      <c r="J18" s="524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5"/>
    </row>
    <row r="19" spans="2:22" s="508" customFormat="1" ht="144.94999999999999" customHeight="1">
      <c r="B19" s="522"/>
      <c r="C19" s="523"/>
      <c r="D19" s="524"/>
      <c r="E19" s="524"/>
      <c r="F19" s="524"/>
      <c r="G19" s="524"/>
      <c r="H19" s="524"/>
      <c r="I19" s="524"/>
      <c r="J19" s="524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5"/>
    </row>
    <row r="20" spans="2:22" s="508" customFormat="1" ht="144.94999999999999" customHeight="1">
      <c r="B20" s="522"/>
      <c r="C20" s="523"/>
      <c r="D20" s="524"/>
      <c r="E20" s="524"/>
      <c r="F20" s="524"/>
      <c r="G20" s="524"/>
      <c r="H20" s="524"/>
      <c r="I20" s="524"/>
      <c r="J20" s="524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5"/>
    </row>
    <row r="21" spans="2:22" s="508" customFormat="1" ht="17.45" customHeight="1">
      <c r="B21" s="512"/>
      <c r="C21" s="513"/>
      <c r="D21" s="526"/>
      <c r="E21" s="526"/>
      <c r="F21" s="526"/>
      <c r="G21" s="526"/>
      <c r="H21" s="526"/>
      <c r="I21" s="526"/>
      <c r="J21" s="526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5"/>
    </row>
    <row r="22" spans="2:22" s="508" customFormat="1" ht="17.45" customHeight="1">
      <c r="B22" s="530"/>
      <c r="C22" s="999" t="s">
        <v>617</v>
      </c>
      <c r="D22" s="999"/>
      <c r="E22" s="999"/>
      <c r="F22" s="505"/>
      <c r="G22" s="1000" t="s">
        <v>821</v>
      </c>
      <c r="H22" s="1000"/>
      <c r="I22" s="1000"/>
      <c r="J22" s="1000"/>
      <c r="K22" s="1000"/>
      <c r="L22" s="1000"/>
      <c r="M22" s="506"/>
      <c r="N22" s="1000" t="s">
        <v>618</v>
      </c>
      <c r="O22" s="1000"/>
      <c r="P22" s="1000"/>
      <c r="Q22" s="1000"/>
      <c r="R22" s="1000"/>
      <c r="S22" s="1000"/>
      <c r="T22" s="1000"/>
      <c r="U22" s="1000"/>
      <c r="V22" s="507"/>
    </row>
    <row r="23" spans="2:22" s="508" customFormat="1" ht="17.45" customHeight="1">
      <c r="B23" s="509"/>
      <c r="C23" s="999" t="s">
        <v>619</v>
      </c>
      <c r="D23" s="999"/>
      <c r="E23" s="1030" t="s">
        <v>54</v>
      </c>
      <c r="F23" s="1030"/>
      <c r="G23" s="1030"/>
      <c r="H23" s="1030"/>
      <c r="I23" s="1030"/>
      <c r="J23" s="1030"/>
      <c r="K23" s="1005" t="s">
        <v>620</v>
      </c>
      <c r="L23" s="1005"/>
      <c r="M23" s="510"/>
      <c r="N23" s="1006" t="s">
        <v>651</v>
      </c>
      <c r="O23" s="1006"/>
      <c r="P23" s="1006"/>
      <c r="Q23" s="510"/>
      <c r="R23" s="510"/>
      <c r="S23" s="510"/>
      <c r="T23" s="510"/>
      <c r="U23" s="510"/>
      <c r="V23" s="511"/>
    </row>
    <row r="24" spans="2:22" s="508" customFormat="1" ht="17.45" customHeight="1">
      <c r="B24" s="512"/>
      <c r="C24" s="999"/>
      <c r="D24" s="999"/>
      <c r="E24" s="1030"/>
      <c r="F24" s="1030"/>
      <c r="G24" s="1030"/>
      <c r="H24" s="1030"/>
      <c r="I24" s="1030"/>
      <c r="J24" s="1030"/>
      <c r="K24" s="1007" t="s">
        <v>622</v>
      </c>
      <c r="L24" s="1007"/>
      <c r="M24" s="513"/>
      <c r="N24" s="1008">
        <v>1</v>
      </c>
      <c r="O24" s="1008"/>
      <c r="P24" s="1008"/>
      <c r="Q24" s="513"/>
      <c r="R24" s="1007" t="s">
        <v>623</v>
      </c>
      <c r="S24" s="1007"/>
      <c r="T24" s="513"/>
      <c r="U24" s="514" t="s">
        <v>55</v>
      </c>
      <c r="V24" s="515"/>
    </row>
    <row r="25" spans="2:22" s="508" customFormat="1" ht="17.45" customHeight="1">
      <c r="B25" s="997" t="s">
        <v>625</v>
      </c>
      <c r="C25" s="997"/>
      <c r="D25" s="998" t="s">
        <v>259</v>
      </c>
      <c r="E25" s="998"/>
      <c r="F25" s="998"/>
      <c r="G25" s="998"/>
      <c r="H25" s="998"/>
      <c r="I25" s="998"/>
      <c r="J25" s="997" t="s">
        <v>266</v>
      </c>
      <c r="K25" s="997"/>
      <c r="L25" s="997" t="s">
        <v>270</v>
      </c>
      <c r="M25" s="997"/>
      <c r="N25" s="997"/>
      <c r="O25" s="998" t="s">
        <v>626</v>
      </c>
      <c r="P25" s="998"/>
      <c r="Q25" s="998"/>
      <c r="R25" s="998"/>
      <c r="S25" s="998" t="s">
        <v>627</v>
      </c>
      <c r="T25" s="998"/>
      <c r="U25" s="998"/>
      <c r="V25" s="998"/>
    </row>
    <row r="26" spans="2:22" s="508" customFormat="1" ht="17.45" customHeight="1">
      <c r="B26" s="527"/>
      <c r="C26" s="533">
        <v>10776</v>
      </c>
      <c r="D26" s="1031" t="s">
        <v>652</v>
      </c>
      <c r="E26" s="1031"/>
      <c r="F26" s="1031"/>
      <c r="G26" s="1031"/>
      <c r="H26" s="1031"/>
      <c r="I26" s="1031"/>
      <c r="J26" s="1032">
        <v>1</v>
      </c>
      <c r="K26" s="1032"/>
      <c r="L26" s="1033">
        <v>1</v>
      </c>
      <c r="M26" s="1033"/>
      <c r="N26" s="1033"/>
      <c r="O26" s="1034">
        <v>590.62</v>
      </c>
      <c r="P26" s="1034"/>
      <c r="Q26" s="1034"/>
      <c r="R26" s="1034"/>
      <c r="S26" s="1035">
        <f>O26*L26</f>
        <v>590.62</v>
      </c>
      <c r="T26" s="1035"/>
      <c r="U26" s="1035"/>
      <c r="V26" s="1035"/>
    </row>
    <row r="27" spans="2:22" s="508" customFormat="1" ht="17.45" customHeight="1">
      <c r="B27" s="965"/>
      <c r="C27" s="965"/>
      <c r="D27" s="965"/>
      <c r="E27" s="965"/>
      <c r="F27" s="965"/>
      <c r="G27" s="965"/>
      <c r="H27" s="965"/>
      <c r="I27" s="966" t="s">
        <v>645</v>
      </c>
      <c r="J27" s="966"/>
      <c r="K27" s="966"/>
      <c r="L27" s="966"/>
      <c r="M27" s="966"/>
      <c r="N27" s="966"/>
      <c r="O27" s="966"/>
      <c r="P27" s="966"/>
      <c r="Q27" s="966"/>
      <c r="R27" s="966"/>
      <c r="S27" s="1029">
        <f>S26</f>
        <v>590.62</v>
      </c>
      <c r="T27" s="1029"/>
      <c r="U27" s="1029"/>
      <c r="V27" s="1029"/>
    </row>
    <row r="28" spans="2:22" s="508" customFormat="1" ht="17.45" customHeight="1">
      <c r="B28" s="967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7"/>
      <c r="N28" s="967"/>
      <c r="O28" s="967"/>
      <c r="P28" s="967"/>
      <c r="Q28" s="967"/>
      <c r="R28" s="967"/>
      <c r="S28" s="967"/>
      <c r="T28" s="967"/>
      <c r="U28" s="967"/>
      <c r="V28" s="967"/>
    </row>
    <row r="29" spans="2:22" s="508" customFormat="1" ht="17.45" customHeight="1">
      <c r="B29" s="968"/>
      <c r="C29" s="968"/>
      <c r="D29" s="968"/>
      <c r="E29" s="968"/>
      <c r="F29" s="968"/>
      <c r="G29" s="968"/>
      <c r="H29" s="968"/>
      <c r="I29" s="969" t="s">
        <v>646</v>
      </c>
      <c r="J29" s="969"/>
      <c r="K29" s="969"/>
      <c r="L29" s="969"/>
      <c r="M29" s="969"/>
      <c r="N29" s="969"/>
      <c r="O29" s="969"/>
      <c r="P29" s="969"/>
      <c r="Q29" s="969"/>
      <c r="R29" s="969"/>
      <c r="S29" s="963">
        <f>S27</f>
        <v>590.62</v>
      </c>
      <c r="T29" s="963"/>
      <c r="U29" s="963"/>
      <c r="V29" s="964"/>
    </row>
    <row r="30" spans="2:22" s="508" customFormat="1" ht="17.45" customHeight="1">
      <c r="B30" s="968"/>
      <c r="C30" s="968"/>
      <c r="D30" s="968"/>
      <c r="E30" s="968"/>
      <c r="F30" s="968"/>
      <c r="G30" s="968"/>
      <c r="H30" s="969" t="s">
        <v>647</v>
      </c>
      <c r="I30" s="969"/>
      <c r="J30" s="969"/>
      <c r="K30" s="969"/>
      <c r="L30" s="969"/>
      <c r="M30" s="970">
        <v>20.7</v>
      </c>
      <c r="N30" s="970"/>
      <c r="O30" s="970"/>
      <c r="P30" s="969" t="s">
        <v>648</v>
      </c>
      <c r="Q30" s="969"/>
      <c r="R30" s="969"/>
      <c r="S30" s="963">
        <f>S29*M30%</f>
        <v>122.25833999999999</v>
      </c>
      <c r="T30" s="963"/>
      <c r="U30" s="963"/>
      <c r="V30" s="964"/>
    </row>
    <row r="31" spans="2:22" s="508" customFormat="1" ht="17.45" customHeight="1">
      <c r="B31" s="968"/>
      <c r="C31" s="968"/>
      <c r="D31" s="968"/>
      <c r="E31" s="968"/>
      <c r="F31" s="968"/>
      <c r="G31" s="968"/>
      <c r="H31" s="968"/>
      <c r="I31" s="969" t="s">
        <v>649</v>
      </c>
      <c r="J31" s="969"/>
      <c r="K31" s="969"/>
      <c r="L31" s="969"/>
      <c r="M31" s="969"/>
      <c r="N31" s="969"/>
      <c r="O31" s="969"/>
      <c r="P31" s="969"/>
      <c r="Q31" s="969"/>
      <c r="R31" s="969"/>
      <c r="S31" s="963">
        <f>S29+S30</f>
        <v>712.87833999999998</v>
      </c>
      <c r="T31" s="963"/>
      <c r="U31" s="963"/>
      <c r="V31" s="964"/>
    </row>
    <row r="32" spans="2:22" s="508" customFormat="1" ht="17.45" customHeight="1">
      <c r="B32" s="522"/>
      <c r="C32" s="523"/>
      <c r="D32" s="524"/>
      <c r="E32" s="524"/>
      <c r="F32" s="524"/>
      <c r="G32" s="524"/>
      <c r="H32" s="524"/>
      <c r="I32" s="524"/>
      <c r="J32" s="524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5"/>
    </row>
    <row r="33" spans="2:26" s="508" customFormat="1" ht="17.45" customHeight="1">
      <c r="B33" s="522"/>
      <c r="C33" s="523"/>
      <c r="D33" s="524"/>
      <c r="E33" s="524"/>
      <c r="F33" s="524"/>
      <c r="G33" s="524"/>
      <c r="H33" s="524"/>
      <c r="I33" s="524"/>
      <c r="J33" s="524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5"/>
    </row>
    <row r="34" spans="2:26" s="508" customFormat="1" ht="17.45" customHeight="1">
      <c r="B34" s="522"/>
      <c r="C34" s="523"/>
      <c r="D34" s="524"/>
      <c r="E34" s="524"/>
      <c r="F34" s="524"/>
      <c r="G34" s="524"/>
      <c r="H34" s="524"/>
      <c r="I34" s="524"/>
      <c r="J34" s="524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5"/>
    </row>
    <row r="35" spans="2:26" s="508" customFormat="1" ht="17.45" customHeight="1">
      <c r="B35" s="522"/>
      <c r="C35" s="523"/>
      <c r="D35" s="524"/>
      <c r="E35" s="524"/>
      <c r="F35" s="524"/>
      <c r="G35" s="524"/>
      <c r="H35" s="524"/>
      <c r="I35" s="524"/>
      <c r="J35" s="524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5"/>
    </row>
    <row r="36" spans="2:26" s="508" customFormat="1" ht="17.45" customHeight="1">
      <c r="B36" s="512"/>
      <c r="C36" s="513"/>
      <c r="D36" s="526"/>
      <c r="E36" s="526"/>
      <c r="F36" s="526"/>
      <c r="G36" s="526"/>
      <c r="H36" s="526"/>
      <c r="I36" s="526"/>
      <c r="J36" s="526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5"/>
    </row>
    <row r="37" spans="2:26" s="508" customFormat="1" ht="17.45" customHeight="1">
      <c r="B37" s="530"/>
      <c r="C37" s="999" t="s">
        <v>617</v>
      </c>
      <c r="D37" s="999"/>
      <c r="E37" s="999"/>
      <c r="F37" s="505"/>
      <c r="G37" s="1000" t="s">
        <v>821</v>
      </c>
      <c r="H37" s="1000"/>
      <c r="I37" s="1000"/>
      <c r="J37" s="1000"/>
      <c r="K37" s="1000"/>
      <c r="L37" s="1000"/>
      <c r="M37" s="506"/>
      <c r="N37" s="1000" t="s">
        <v>618</v>
      </c>
      <c r="O37" s="1000"/>
      <c r="P37" s="1000"/>
      <c r="Q37" s="1000"/>
      <c r="R37" s="1000"/>
      <c r="S37" s="1000"/>
      <c r="T37" s="1000"/>
      <c r="U37" s="1000"/>
      <c r="V37" s="507"/>
    </row>
    <row r="38" spans="2:26" s="508" customFormat="1" ht="17.45" customHeight="1">
      <c r="B38" s="509"/>
      <c r="C38" s="999" t="s">
        <v>619</v>
      </c>
      <c r="D38" s="999"/>
      <c r="E38" s="1030" t="s">
        <v>157</v>
      </c>
      <c r="F38" s="1030"/>
      <c r="G38" s="1030"/>
      <c r="H38" s="1030"/>
      <c r="I38" s="1030"/>
      <c r="J38" s="1030"/>
      <c r="K38" s="1005" t="s">
        <v>620</v>
      </c>
      <c r="L38" s="1005"/>
      <c r="M38" s="510"/>
      <c r="N38" s="1006" t="s">
        <v>656</v>
      </c>
      <c r="O38" s="1006"/>
      <c r="P38" s="1006"/>
      <c r="Q38" s="510"/>
      <c r="R38" s="510"/>
      <c r="S38" s="510"/>
      <c r="T38" s="510"/>
      <c r="U38" s="510"/>
      <c r="V38" s="511"/>
    </row>
    <row r="39" spans="2:26" s="508" customFormat="1" ht="17.45" customHeight="1">
      <c r="B39" s="512"/>
      <c r="C39" s="999"/>
      <c r="D39" s="999"/>
      <c r="E39" s="1030"/>
      <c r="F39" s="1030"/>
      <c r="G39" s="1030"/>
      <c r="H39" s="1030"/>
      <c r="I39" s="1030"/>
      <c r="J39" s="1030"/>
      <c r="K39" s="1007" t="s">
        <v>622</v>
      </c>
      <c r="L39" s="1007"/>
      <c r="M39" s="513"/>
      <c r="N39" s="1008">
        <v>1</v>
      </c>
      <c r="O39" s="1008"/>
      <c r="P39" s="1008"/>
      <c r="Q39" s="513"/>
      <c r="R39" s="1007" t="s">
        <v>623</v>
      </c>
      <c r="S39" s="1007"/>
      <c r="T39" s="513"/>
      <c r="U39" s="514" t="s">
        <v>657</v>
      </c>
      <c r="V39" s="515"/>
    </row>
    <row r="40" spans="2:26" s="508" customFormat="1" ht="17.45" customHeight="1">
      <c r="B40" s="1046" t="s">
        <v>625</v>
      </c>
      <c r="C40" s="1046"/>
      <c r="D40" s="1047" t="s">
        <v>259</v>
      </c>
      <c r="E40" s="1047"/>
      <c r="F40" s="1047"/>
      <c r="G40" s="1047"/>
      <c r="H40" s="1047"/>
      <c r="I40" s="1047"/>
      <c r="J40" s="1046" t="s">
        <v>266</v>
      </c>
      <c r="K40" s="1046"/>
      <c r="L40" s="1046" t="s">
        <v>270</v>
      </c>
      <c r="M40" s="1046"/>
      <c r="N40" s="1046"/>
      <c r="O40" s="1047" t="s">
        <v>626</v>
      </c>
      <c r="P40" s="1047"/>
      <c r="Q40" s="1047"/>
      <c r="R40" s="1047"/>
      <c r="S40" s="1047" t="s">
        <v>627</v>
      </c>
      <c r="T40" s="1047"/>
      <c r="U40" s="1047"/>
      <c r="V40" s="1047"/>
    </row>
    <row r="41" spans="2:26" s="508" customFormat="1" ht="17.45" customHeight="1">
      <c r="B41" s="509"/>
      <c r="C41" s="534">
        <v>93564</v>
      </c>
      <c r="D41" s="1036" t="s">
        <v>658</v>
      </c>
      <c r="E41" s="1036"/>
      <c r="F41" s="1036"/>
      <c r="G41" s="1036"/>
      <c r="H41" s="1036"/>
      <c r="I41" s="1036"/>
      <c r="J41" s="1037" t="s">
        <v>267</v>
      </c>
      <c r="K41" s="1037"/>
      <c r="L41" s="1038">
        <v>9</v>
      </c>
      <c r="M41" s="1038"/>
      <c r="N41" s="1038"/>
      <c r="O41" s="979">
        <v>3047.7</v>
      </c>
      <c r="P41" s="980"/>
      <c r="Q41" s="980"/>
      <c r="R41" s="981"/>
      <c r="S41" s="1039">
        <f>L41*O41</f>
        <v>27429.3</v>
      </c>
      <c r="T41" s="1039"/>
      <c r="U41" s="1039"/>
      <c r="V41" s="1039"/>
      <c r="W41" s="313"/>
    </row>
    <row r="42" spans="2:26" s="508" customFormat="1" ht="17.45" customHeight="1">
      <c r="B42" s="522"/>
      <c r="C42" s="535">
        <v>93565</v>
      </c>
      <c r="D42" s="1040" t="s">
        <v>659</v>
      </c>
      <c r="E42" s="1040"/>
      <c r="F42" s="1040"/>
      <c r="G42" s="1040"/>
      <c r="H42" s="1040"/>
      <c r="I42" s="1040"/>
      <c r="J42" s="1041" t="s">
        <v>267</v>
      </c>
      <c r="K42" s="1041"/>
      <c r="L42" s="1042">
        <v>8</v>
      </c>
      <c r="M42" s="1042"/>
      <c r="N42" s="1042"/>
      <c r="O42" s="993">
        <v>16537.740000000002</v>
      </c>
      <c r="P42" s="994"/>
      <c r="Q42" s="994"/>
      <c r="R42" s="995"/>
      <c r="S42" s="1043">
        <f t="shared" ref="S42:S47" si="1">L42*O42</f>
        <v>132301.92000000001</v>
      </c>
      <c r="T42" s="1044"/>
      <c r="U42" s="1044"/>
      <c r="V42" s="1045"/>
      <c r="W42" s="313"/>
    </row>
    <row r="43" spans="2:26" s="508" customFormat="1" ht="17.45" customHeight="1">
      <c r="B43" s="522"/>
      <c r="C43" s="535" t="s">
        <v>660</v>
      </c>
      <c r="D43" s="1040" t="s">
        <v>661</v>
      </c>
      <c r="E43" s="1040"/>
      <c r="F43" s="1040"/>
      <c r="G43" s="1040"/>
      <c r="H43" s="1040"/>
      <c r="I43" s="1040"/>
      <c r="J43" s="1041" t="s">
        <v>267</v>
      </c>
      <c r="K43" s="1041"/>
      <c r="L43" s="1042">
        <v>9</v>
      </c>
      <c r="M43" s="1042"/>
      <c r="N43" s="1042"/>
      <c r="O43" s="993">
        <v>4200.88</v>
      </c>
      <c r="P43" s="994"/>
      <c r="Q43" s="994"/>
      <c r="R43" s="995"/>
      <c r="S43" s="1043">
        <f t="shared" si="1"/>
        <v>37807.919999999998</v>
      </c>
      <c r="T43" s="1044"/>
      <c r="U43" s="1044"/>
      <c r="V43" s="1045"/>
      <c r="W43" s="313"/>
    </row>
    <row r="44" spans="2:26" s="508" customFormat="1" ht="17.45" customHeight="1">
      <c r="B44" s="522"/>
      <c r="C44" s="535">
        <v>94296</v>
      </c>
      <c r="D44" s="1040" t="s">
        <v>662</v>
      </c>
      <c r="E44" s="1040"/>
      <c r="F44" s="1040"/>
      <c r="G44" s="1040"/>
      <c r="H44" s="1040"/>
      <c r="I44" s="1040"/>
      <c r="J44" s="1041" t="s">
        <v>267</v>
      </c>
      <c r="K44" s="1041"/>
      <c r="L44" s="1042">
        <v>8</v>
      </c>
      <c r="M44" s="1042"/>
      <c r="N44" s="1042"/>
      <c r="O44" s="993">
        <v>3123.77</v>
      </c>
      <c r="P44" s="994"/>
      <c r="Q44" s="994"/>
      <c r="R44" s="995"/>
      <c r="S44" s="1043">
        <f t="shared" si="1"/>
        <v>24990.16</v>
      </c>
      <c r="T44" s="1044"/>
      <c r="U44" s="1044"/>
      <c r="V44" s="1045"/>
      <c r="W44" s="313"/>
    </row>
    <row r="45" spans="2:26" s="508" customFormat="1" ht="17.45" customHeight="1">
      <c r="B45" s="522"/>
      <c r="C45" s="535">
        <v>101385</v>
      </c>
      <c r="D45" s="1040" t="s">
        <v>663</v>
      </c>
      <c r="E45" s="1040"/>
      <c r="F45" s="1040"/>
      <c r="G45" s="1040"/>
      <c r="H45" s="1040"/>
      <c r="I45" s="1040"/>
      <c r="J45" s="1041" t="s">
        <v>267</v>
      </c>
      <c r="K45" s="1041"/>
      <c r="L45" s="1042">
        <v>8</v>
      </c>
      <c r="M45" s="1042"/>
      <c r="N45" s="1042"/>
      <c r="O45" s="993">
        <v>4185.8</v>
      </c>
      <c r="P45" s="994"/>
      <c r="Q45" s="994"/>
      <c r="R45" s="995"/>
      <c r="S45" s="1043">
        <f t="shared" si="1"/>
        <v>33486.400000000001</v>
      </c>
      <c r="T45" s="1044"/>
      <c r="U45" s="1044"/>
      <c r="V45" s="1045"/>
      <c r="W45" s="313"/>
      <c r="Z45" s="528"/>
    </row>
    <row r="46" spans="2:26" s="508" customFormat="1" ht="17.45" customHeight="1">
      <c r="B46" s="522"/>
      <c r="C46" s="535" t="s">
        <v>664</v>
      </c>
      <c r="D46" s="1040" t="s">
        <v>665</v>
      </c>
      <c r="E46" s="1040"/>
      <c r="F46" s="1040"/>
      <c r="G46" s="1040"/>
      <c r="H46" s="1040"/>
      <c r="I46" s="1040"/>
      <c r="J46" s="1041" t="s">
        <v>267</v>
      </c>
      <c r="K46" s="1041"/>
      <c r="L46" s="1042">
        <v>8</v>
      </c>
      <c r="M46" s="1042"/>
      <c r="N46" s="1042"/>
      <c r="O46" s="993">
        <v>1450.2</v>
      </c>
      <c r="P46" s="994"/>
      <c r="Q46" s="994"/>
      <c r="R46" s="995"/>
      <c r="S46" s="1043">
        <f t="shared" si="1"/>
        <v>11601.6</v>
      </c>
      <c r="T46" s="1044"/>
      <c r="U46" s="1044"/>
      <c r="V46" s="1045"/>
      <c r="W46" s="313"/>
      <c r="Z46" s="529"/>
    </row>
    <row r="47" spans="2:26" s="508" customFormat="1" ht="17.45" customHeight="1">
      <c r="B47" s="512"/>
      <c r="C47" s="536" t="s">
        <v>666</v>
      </c>
      <c r="D47" s="1052" t="s">
        <v>667</v>
      </c>
      <c r="E47" s="1052"/>
      <c r="F47" s="1052"/>
      <c r="G47" s="1052"/>
      <c r="H47" s="1052"/>
      <c r="I47" s="1052"/>
      <c r="J47" s="1053" t="s">
        <v>267</v>
      </c>
      <c r="K47" s="1053"/>
      <c r="L47" s="1054">
        <v>8</v>
      </c>
      <c r="M47" s="1054"/>
      <c r="N47" s="1054"/>
      <c r="O47" s="1021">
        <v>4377.17</v>
      </c>
      <c r="P47" s="1022"/>
      <c r="Q47" s="1022"/>
      <c r="R47" s="1023"/>
      <c r="S47" s="1055">
        <f t="shared" si="1"/>
        <v>35017.360000000001</v>
      </c>
      <c r="T47" s="1056"/>
      <c r="U47" s="1056"/>
      <c r="V47" s="1057"/>
      <c r="W47" s="313"/>
    </row>
    <row r="48" spans="2:26" s="508" customFormat="1" ht="17.45" customHeight="1">
      <c r="B48" s="1058"/>
      <c r="C48" s="1058"/>
      <c r="D48" s="1058"/>
      <c r="E48" s="1058"/>
      <c r="F48" s="1058"/>
      <c r="G48" s="1058"/>
      <c r="H48" s="1058"/>
      <c r="I48" s="1000" t="s">
        <v>645</v>
      </c>
      <c r="J48" s="1000"/>
      <c r="K48" s="1000"/>
      <c r="L48" s="1000"/>
      <c r="M48" s="1000"/>
      <c r="N48" s="1000"/>
      <c r="O48" s="1000"/>
      <c r="P48" s="1000"/>
      <c r="Q48" s="1000"/>
      <c r="R48" s="1000"/>
      <c r="S48" s="1059">
        <f>SUM(S41:V47)</f>
        <v>302634.65999999997</v>
      </c>
      <c r="T48" s="1059"/>
      <c r="U48" s="1059"/>
      <c r="V48" s="1059"/>
      <c r="W48" s="531"/>
    </row>
    <row r="49" spans="2:23" s="508" customFormat="1" ht="17.45" customHeight="1">
      <c r="B49" s="1050"/>
      <c r="C49" s="1050"/>
      <c r="D49" s="1050"/>
      <c r="E49" s="1050"/>
      <c r="F49" s="1050"/>
      <c r="G49" s="1050"/>
      <c r="H49" s="1050"/>
      <c r="I49" s="1050"/>
      <c r="J49" s="1050"/>
      <c r="K49" s="1050"/>
      <c r="L49" s="1050"/>
      <c r="M49" s="1050"/>
      <c r="N49" s="1050"/>
      <c r="O49" s="1050"/>
      <c r="P49" s="1050"/>
      <c r="Q49" s="1050"/>
      <c r="R49" s="1050"/>
      <c r="S49" s="1050"/>
      <c r="T49" s="1050"/>
      <c r="U49" s="1050"/>
      <c r="V49" s="1050"/>
    </row>
    <row r="50" spans="2:23" s="508" customFormat="1" ht="17.45" customHeight="1">
      <c r="B50" s="1048"/>
      <c r="C50" s="1048"/>
      <c r="D50" s="1048"/>
      <c r="E50" s="1048"/>
      <c r="F50" s="1048"/>
      <c r="G50" s="1048"/>
      <c r="H50" s="1048"/>
      <c r="I50" s="1049" t="s">
        <v>646</v>
      </c>
      <c r="J50" s="1049"/>
      <c r="K50" s="1049"/>
      <c r="L50" s="1049"/>
      <c r="M50" s="1049"/>
      <c r="N50" s="1049"/>
      <c r="O50" s="1049"/>
      <c r="P50" s="1049"/>
      <c r="Q50" s="1049"/>
      <c r="R50" s="1049"/>
      <c r="S50" s="963">
        <f>S48</f>
        <v>302634.65999999997</v>
      </c>
      <c r="T50" s="963"/>
      <c r="U50" s="963"/>
      <c r="V50" s="964"/>
      <c r="W50" s="531"/>
    </row>
    <row r="51" spans="2:23" s="508" customFormat="1" ht="17.45" customHeight="1">
      <c r="B51" s="1048"/>
      <c r="C51" s="1048"/>
      <c r="D51" s="1048"/>
      <c r="E51" s="1048"/>
      <c r="F51" s="1048"/>
      <c r="G51" s="1048"/>
      <c r="H51" s="1049" t="s">
        <v>647</v>
      </c>
      <c r="I51" s="1049"/>
      <c r="J51" s="1049"/>
      <c r="K51" s="1049"/>
      <c r="L51" s="1049"/>
      <c r="M51" s="1051">
        <v>20.7</v>
      </c>
      <c r="N51" s="1051"/>
      <c r="O51" s="1051"/>
      <c r="P51" s="1049" t="s">
        <v>648</v>
      </c>
      <c r="Q51" s="1049"/>
      <c r="R51" s="1049"/>
      <c r="S51" s="963">
        <f>S50*M51%</f>
        <v>62645.374619999995</v>
      </c>
      <c r="T51" s="963"/>
      <c r="U51" s="963"/>
      <c r="V51" s="964"/>
      <c r="W51" s="532"/>
    </row>
    <row r="52" spans="2:23" s="508" customFormat="1" ht="17.45" customHeight="1">
      <c r="B52" s="1048"/>
      <c r="C52" s="1048"/>
      <c r="D52" s="1048"/>
      <c r="E52" s="1048"/>
      <c r="F52" s="1048"/>
      <c r="G52" s="1048"/>
      <c r="H52" s="1048"/>
      <c r="I52" s="1049" t="s">
        <v>649</v>
      </c>
      <c r="J52" s="1049"/>
      <c r="K52" s="1049"/>
      <c r="L52" s="1049"/>
      <c r="M52" s="1049"/>
      <c r="N52" s="1049"/>
      <c r="O52" s="1049"/>
      <c r="P52" s="1049"/>
      <c r="Q52" s="1049"/>
      <c r="R52" s="1049"/>
      <c r="S52" s="963">
        <f>S50+S51</f>
        <v>365280.03461999999</v>
      </c>
      <c r="T52" s="963"/>
      <c r="U52" s="963"/>
      <c r="V52" s="964"/>
      <c r="W52" s="531"/>
    </row>
    <row r="53" spans="2:23" s="508" customFormat="1" ht="144.94999999999999" customHeight="1">
      <c r="B53" s="522"/>
      <c r="C53" s="523"/>
      <c r="D53" s="524"/>
      <c r="E53" s="524"/>
      <c r="F53" s="524"/>
      <c r="G53" s="524"/>
      <c r="H53" s="524"/>
      <c r="I53" s="524"/>
      <c r="J53" s="524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5"/>
    </row>
    <row r="54" spans="2:23" s="508" customFormat="1" ht="144.94999999999999" customHeight="1">
      <c r="B54" s="522"/>
      <c r="C54" s="523"/>
      <c r="D54" s="524"/>
      <c r="E54" s="524"/>
      <c r="F54" s="524"/>
      <c r="G54" s="524"/>
      <c r="H54" s="524"/>
      <c r="I54" s="524"/>
      <c r="J54" s="524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5"/>
    </row>
    <row r="55" spans="2:23" s="508" customFormat="1" ht="144.94999999999999" customHeight="1">
      <c r="B55" s="522"/>
      <c r="C55" s="523"/>
      <c r="D55" s="524"/>
      <c r="E55" s="524"/>
      <c r="F55" s="524"/>
      <c r="G55" s="524"/>
      <c r="H55" s="524"/>
      <c r="I55" s="524"/>
      <c r="J55" s="524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5"/>
    </row>
    <row r="56" spans="2:23" s="508" customFormat="1" ht="17.45" customHeight="1">
      <c r="B56" s="512"/>
      <c r="C56" s="513"/>
      <c r="D56" s="526"/>
      <c r="E56" s="526"/>
      <c r="F56" s="526"/>
      <c r="G56" s="526"/>
      <c r="H56" s="526"/>
      <c r="I56" s="526"/>
      <c r="J56" s="526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3"/>
      <c r="V56" s="515"/>
    </row>
    <row r="57" spans="2:23" s="508" customFormat="1" ht="17.45" customHeight="1">
      <c r="B57" s="530"/>
      <c r="C57" s="999" t="s">
        <v>617</v>
      </c>
      <c r="D57" s="999"/>
      <c r="E57" s="999"/>
      <c r="F57" s="505"/>
      <c r="G57" s="1000" t="s">
        <v>821</v>
      </c>
      <c r="H57" s="1000"/>
      <c r="I57" s="1000"/>
      <c r="J57" s="1000"/>
      <c r="K57" s="1000"/>
      <c r="L57" s="1000"/>
      <c r="M57" s="506"/>
      <c r="N57" s="1000" t="s">
        <v>618</v>
      </c>
      <c r="O57" s="1000"/>
      <c r="P57" s="1000"/>
      <c r="Q57" s="1000"/>
      <c r="R57" s="1000"/>
      <c r="S57" s="1000"/>
      <c r="T57" s="1000"/>
      <c r="U57" s="1000"/>
      <c r="V57" s="507"/>
    </row>
    <row r="58" spans="2:23" s="508" customFormat="1" ht="17.45" customHeight="1">
      <c r="B58" s="509"/>
      <c r="C58" s="999" t="s">
        <v>619</v>
      </c>
      <c r="D58" s="999"/>
      <c r="E58" s="1030" t="s">
        <v>668</v>
      </c>
      <c r="F58" s="1030"/>
      <c r="G58" s="1030"/>
      <c r="H58" s="1030"/>
      <c r="I58" s="1030"/>
      <c r="J58" s="1030"/>
      <c r="K58" s="1005" t="s">
        <v>620</v>
      </c>
      <c r="L58" s="1005"/>
      <c r="M58" s="510"/>
      <c r="N58" s="1006" t="s">
        <v>669</v>
      </c>
      <c r="O58" s="1006"/>
      <c r="P58" s="1006"/>
      <c r="Q58" s="510"/>
      <c r="R58" s="510"/>
      <c r="S58" s="510"/>
      <c r="T58" s="510"/>
      <c r="U58" s="510"/>
      <c r="V58" s="511"/>
    </row>
    <row r="59" spans="2:23" s="508" customFormat="1" ht="17.45" customHeight="1">
      <c r="B59" s="512"/>
      <c r="C59" s="999"/>
      <c r="D59" s="999"/>
      <c r="E59" s="1030"/>
      <c r="F59" s="1030"/>
      <c r="G59" s="1030"/>
      <c r="H59" s="1030"/>
      <c r="I59" s="1030"/>
      <c r="J59" s="1030"/>
      <c r="K59" s="1007" t="s">
        <v>622</v>
      </c>
      <c r="L59" s="1007"/>
      <c r="M59" s="513"/>
      <c r="N59" s="1008">
        <v>1</v>
      </c>
      <c r="O59" s="1008"/>
      <c r="P59" s="1008"/>
      <c r="Q59" s="513"/>
      <c r="R59" s="1007" t="s">
        <v>623</v>
      </c>
      <c r="S59" s="1007"/>
      <c r="T59" s="513"/>
      <c r="U59" s="514" t="s">
        <v>624</v>
      </c>
      <c r="V59" s="515"/>
    </row>
    <row r="60" spans="2:23" s="508" customFormat="1" ht="17.45" customHeight="1">
      <c r="B60" s="997" t="s">
        <v>625</v>
      </c>
      <c r="C60" s="997"/>
      <c r="D60" s="998" t="s">
        <v>259</v>
      </c>
      <c r="E60" s="998"/>
      <c r="F60" s="998"/>
      <c r="G60" s="998"/>
      <c r="H60" s="998"/>
      <c r="I60" s="998"/>
      <c r="J60" s="997" t="s">
        <v>266</v>
      </c>
      <c r="K60" s="997"/>
      <c r="L60" s="997" t="s">
        <v>270</v>
      </c>
      <c r="M60" s="997"/>
      <c r="N60" s="997"/>
      <c r="O60" s="998" t="s">
        <v>626</v>
      </c>
      <c r="P60" s="998"/>
      <c r="Q60" s="998"/>
      <c r="R60" s="998"/>
      <c r="S60" s="998" t="s">
        <v>627</v>
      </c>
      <c r="T60" s="998"/>
      <c r="U60" s="998"/>
      <c r="V60" s="998"/>
    </row>
    <row r="61" spans="2:23" s="508" customFormat="1" ht="17.45" customHeight="1">
      <c r="B61" s="516"/>
      <c r="C61" s="517" t="s">
        <v>670</v>
      </c>
      <c r="D61" s="1060" t="s">
        <v>671</v>
      </c>
      <c r="E61" s="1060"/>
      <c r="F61" s="1060"/>
      <c r="G61" s="1060"/>
      <c r="H61" s="1060"/>
      <c r="I61" s="1060"/>
      <c r="J61" s="1061" t="s">
        <v>657</v>
      </c>
      <c r="K61" s="1061"/>
      <c r="L61" s="1062">
        <v>1.2999999999999999E-3</v>
      </c>
      <c r="M61" s="1062"/>
      <c r="N61" s="1062"/>
      <c r="O61" s="1063">
        <f>REAJUSTAMENTO!J13</f>
        <v>161.94999999999999</v>
      </c>
      <c r="P61" s="1063"/>
      <c r="Q61" s="1063"/>
      <c r="R61" s="1063"/>
      <c r="S61" s="1064">
        <f>L61*O61</f>
        <v>0.21053499999999997</v>
      </c>
      <c r="T61" s="1064"/>
      <c r="U61" s="1064"/>
      <c r="V61" s="1064"/>
    </row>
    <row r="62" spans="2:23" s="508" customFormat="1" ht="17.45" customHeight="1">
      <c r="B62" s="518"/>
      <c r="C62" s="519" t="s">
        <v>672</v>
      </c>
      <c r="D62" s="1065" t="s">
        <v>673</v>
      </c>
      <c r="E62" s="1065"/>
      <c r="F62" s="1065"/>
      <c r="G62" s="1065"/>
      <c r="H62" s="1065"/>
      <c r="I62" s="1065"/>
      <c r="J62" s="1066" t="s">
        <v>657</v>
      </c>
      <c r="K62" s="1066"/>
      <c r="L62" s="1067">
        <v>1.2999999999999999E-3</v>
      </c>
      <c r="M62" s="1067"/>
      <c r="N62" s="1067"/>
      <c r="O62" s="1068">
        <f>REAJUSTAMENTO!J15</f>
        <v>101.23</v>
      </c>
      <c r="P62" s="1068"/>
      <c r="Q62" s="1068"/>
      <c r="R62" s="1068"/>
      <c r="S62" s="996">
        <f t="shared" ref="S62:S67" si="2">L62*O62</f>
        <v>0.13159899999999999</v>
      </c>
      <c r="T62" s="963"/>
      <c r="U62" s="963"/>
      <c r="V62" s="964"/>
    </row>
    <row r="63" spans="2:23" s="508" customFormat="1" ht="17.45" customHeight="1">
      <c r="B63" s="518"/>
      <c r="C63" s="519" t="s">
        <v>674</v>
      </c>
      <c r="D63" s="1065" t="s">
        <v>675</v>
      </c>
      <c r="E63" s="1065"/>
      <c r="F63" s="1065"/>
      <c r="G63" s="1065"/>
      <c r="H63" s="1065"/>
      <c r="I63" s="1065"/>
      <c r="J63" s="1066" t="s">
        <v>657</v>
      </c>
      <c r="K63" s="1066"/>
      <c r="L63" s="1067">
        <v>1.2999999999999999E-3</v>
      </c>
      <c r="M63" s="1067"/>
      <c r="N63" s="1067"/>
      <c r="O63" s="1068">
        <f>REAJUSTAMENTO!J17</f>
        <v>91.09</v>
      </c>
      <c r="P63" s="1068"/>
      <c r="Q63" s="1068"/>
      <c r="R63" s="1068"/>
      <c r="S63" s="996">
        <f t="shared" si="2"/>
        <v>0.11841699999999999</v>
      </c>
      <c r="T63" s="963"/>
      <c r="U63" s="963"/>
      <c r="V63" s="964"/>
    </row>
    <row r="64" spans="2:23" s="508" customFormat="1" ht="17.45" customHeight="1">
      <c r="B64" s="518"/>
      <c r="C64" s="519" t="s">
        <v>676</v>
      </c>
      <c r="D64" s="1065" t="s">
        <v>677</v>
      </c>
      <c r="E64" s="1065"/>
      <c r="F64" s="1065"/>
      <c r="G64" s="1065"/>
      <c r="H64" s="1065"/>
      <c r="I64" s="1065"/>
      <c r="J64" s="1066" t="s">
        <v>657</v>
      </c>
      <c r="K64" s="1066"/>
      <c r="L64" s="1067">
        <v>1.2999999999999999E-3</v>
      </c>
      <c r="M64" s="1067"/>
      <c r="N64" s="1067"/>
      <c r="O64" s="1068">
        <f>REAJUSTAMENTO!J19</f>
        <v>192.32</v>
      </c>
      <c r="P64" s="1068"/>
      <c r="Q64" s="1068"/>
      <c r="R64" s="1068"/>
      <c r="S64" s="996">
        <f t="shared" si="2"/>
        <v>0.25001599999999996</v>
      </c>
      <c r="T64" s="963"/>
      <c r="U64" s="963"/>
      <c r="V64" s="964"/>
    </row>
    <row r="65" spans="2:22" s="508" customFormat="1" ht="17.45" customHeight="1">
      <c r="B65" s="518"/>
      <c r="C65" s="519" t="s">
        <v>678</v>
      </c>
      <c r="D65" s="1065" t="s">
        <v>679</v>
      </c>
      <c r="E65" s="1065"/>
      <c r="F65" s="1065"/>
      <c r="G65" s="1065"/>
      <c r="H65" s="1065"/>
      <c r="I65" s="1065"/>
      <c r="J65" s="1066" t="s">
        <v>657</v>
      </c>
      <c r="K65" s="1066"/>
      <c r="L65" s="1067">
        <v>8.0000000000000004E-4</v>
      </c>
      <c r="M65" s="1067"/>
      <c r="N65" s="1067"/>
      <c r="O65" s="1068">
        <f>REAJUSTAMENTO!J21</f>
        <v>80.959999999999994</v>
      </c>
      <c r="P65" s="1068"/>
      <c r="Q65" s="1068"/>
      <c r="R65" s="1068"/>
      <c r="S65" s="996">
        <f t="shared" si="2"/>
        <v>6.4767999999999992E-2</v>
      </c>
      <c r="T65" s="963"/>
      <c r="U65" s="963"/>
      <c r="V65" s="964"/>
    </row>
    <row r="66" spans="2:22" s="508" customFormat="1" ht="17.45" customHeight="1">
      <c r="B66" s="518"/>
      <c r="C66" s="519" t="s">
        <v>680</v>
      </c>
      <c r="D66" s="1065" t="s">
        <v>681</v>
      </c>
      <c r="E66" s="1065"/>
      <c r="F66" s="1065"/>
      <c r="G66" s="1065"/>
      <c r="H66" s="1065"/>
      <c r="I66" s="1065"/>
      <c r="J66" s="1066" t="s">
        <v>657</v>
      </c>
      <c r="K66" s="1066"/>
      <c r="L66" s="1067">
        <v>1.2999999999999999E-3</v>
      </c>
      <c r="M66" s="1067"/>
      <c r="N66" s="1067"/>
      <c r="O66" s="1068">
        <f>REAJUSTAMENTO!J23</f>
        <v>232.82</v>
      </c>
      <c r="P66" s="1068"/>
      <c r="Q66" s="1068"/>
      <c r="R66" s="1068"/>
      <c r="S66" s="996">
        <f t="shared" si="2"/>
        <v>0.30266599999999999</v>
      </c>
      <c r="T66" s="963"/>
      <c r="U66" s="963"/>
      <c r="V66" s="964"/>
    </row>
    <row r="67" spans="2:22" s="508" customFormat="1" ht="17.45" customHeight="1">
      <c r="B67" s="520"/>
      <c r="C67" s="521" t="s">
        <v>682</v>
      </c>
      <c r="D67" s="1069" t="s">
        <v>683</v>
      </c>
      <c r="E67" s="1069"/>
      <c r="F67" s="1069"/>
      <c r="G67" s="1069"/>
      <c r="H67" s="1069"/>
      <c r="I67" s="1069"/>
      <c r="J67" s="1070" t="s">
        <v>657</v>
      </c>
      <c r="K67" s="1070"/>
      <c r="L67" s="1071">
        <v>1E-3</v>
      </c>
      <c r="M67" s="1071"/>
      <c r="N67" s="1071"/>
      <c r="O67" s="1072">
        <f>REAJUSTAMENTO!J25</f>
        <v>60.72</v>
      </c>
      <c r="P67" s="1072"/>
      <c r="Q67" s="1072"/>
      <c r="R67" s="1072"/>
      <c r="S67" s="1024">
        <f t="shared" si="2"/>
        <v>6.0720000000000003E-2</v>
      </c>
      <c r="T67" s="1025"/>
      <c r="U67" s="1025"/>
      <c r="V67" s="1026"/>
    </row>
    <row r="68" spans="2:22" s="508" customFormat="1" ht="17.45" customHeight="1">
      <c r="B68" s="965"/>
      <c r="C68" s="965"/>
      <c r="D68" s="965"/>
      <c r="E68" s="965"/>
      <c r="F68" s="965"/>
      <c r="G68" s="965"/>
      <c r="H68" s="965"/>
      <c r="I68" s="966" t="s">
        <v>645</v>
      </c>
      <c r="J68" s="966"/>
      <c r="K68" s="966"/>
      <c r="L68" s="966"/>
      <c r="M68" s="966"/>
      <c r="N68" s="966"/>
      <c r="O68" s="966"/>
      <c r="P68" s="966"/>
      <c r="Q68" s="966"/>
      <c r="R68" s="966"/>
      <c r="S68" s="1029">
        <f>SUM(S61:V67)</f>
        <v>1.1387210000000001</v>
      </c>
      <c r="T68" s="1029"/>
      <c r="U68" s="1029"/>
      <c r="V68" s="1029"/>
    </row>
    <row r="69" spans="2:22" s="508" customFormat="1" ht="17.45" customHeight="1">
      <c r="B69" s="967"/>
      <c r="C69" s="967"/>
      <c r="D69" s="967"/>
      <c r="E69" s="967"/>
      <c r="F69" s="967"/>
      <c r="G69" s="967"/>
      <c r="H69" s="967"/>
      <c r="I69" s="967"/>
      <c r="J69" s="967"/>
      <c r="K69" s="967"/>
      <c r="L69" s="967"/>
      <c r="M69" s="967"/>
      <c r="N69" s="967"/>
      <c r="O69" s="967"/>
      <c r="P69" s="967"/>
      <c r="Q69" s="967"/>
      <c r="R69" s="967"/>
      <c r="S69" s="967"/>
      <c r="T69" s="967"/>
      <c r="U69" s="967"/>
      <c r="V69" s="967"/>
    </row>
    <row r="70" spans="2:22" s="508" customFormat="1" ht="17.45" customHeight="1">
      <c r="B70" s="968"/>
      <c r="C70" s="968"/>
      <c r="D70" s="968"/>
      <c r="E70" s="968"/>
      <c r="F70" s="968"/>
      <c r="G70" s="968"/>
      <c r="H70" s="968"/>
      <c r="I70" s="969" t="s">
        <v>646</v>
      </c>
      <c r="J70" s="969"/>
      <c r="K70" s="969"/>
      <c r="L70" s="969"/>
      <c r="M70" s="969"/>
      <c r="N70" s="969"/>
      <c r="O70" s="969"/>
      <c r="P70" s="969"/>
      <c r="Q70" s="969"/>
      <c r="R70" s="969"/>
      <c r="S70" s="963">
        <f>S68</f>
        <v>1.1387210000000001</v>
      </c>
      <c r="T70" s="963"/>
      <c r="U70" s="963"/>
      <c r="V70" s="964"/>
    </row>
    <row r="71" spans="2:22" s="508" customFormat="1" ht="17.45" customHeight="1">
      <c r="B71" s="968"/>
      <c r="C71" s="968"/>
      <c r="D71" s="968"/>
      <c r="E71" s="968"/>
      <c r="F71" s="968"/>
      <c r="G71" s="968"/>
      <c r="H71" s="969" t="s">
        <v>647</v>
      </c>
      <c r="I71" s="969"/>
      <c r="J71" s="969"/>
      <c r="K71" s="969"/>
      <c r="L71" s="969"/>
      <c r="M71" s="970">
        <v>20.7</v>
      </c>
      <c r="N71" s="970"/>
      <c r="O71" s="970"/>
      <c r="P71" s="969" t="s">
        <v>648</v>
      </c>
      <c r="Q71" s="969"/>
      <c r="R71" s="969"/>
      <c r="S71" s="963">
        <f>S70*M71%</f>
        <v>0.23571524700000002</v>
      </c>
      <c r="T71" s="963"/>
      <c r="U71" s="963"/>
      <c r="V71" s="964"/>
    </row>
    <row r="72" spans="2:22" s="508" customFormat="1" ht="17.45" customHeight="1">
      <c r="B72" s="968"/>
      <c r="C72" s="968"/>
      <c r="D72" s="968"/>
      <c r="E72" s="968"/>
      <c r="F72" s="968"/>
      <c r="G72" s="968"/>
      <c r="H72" s="968"/>
      <c r="I72" s="969" t="s">
        <v>649</v>
      </c>
      <c r="J72" s="969"/>
      <c r="K72" s="969"/>
      <c r="L72" s="969"/>
      <c r="M72" s="969"/>
      <c r="N72" s="969"/>
      <c r="O72" s="969"/>
      <c r="P72" s="969"/>
      <c r="Q72" s="969"/>
      <c r="R72" s="969"/>
      <c r="S72" s="963">
        <f>S70+S71</f>
        <v>1.3744362470000002</v>
      </c>
      <c r="T72" s="963"/>
      <c r="U72" s="963"/>
      <c r="V72" s="964"/>
    </row>
    <row r="73" spans="2:22" s="508" customFormat="1" ht="144.94999999999999" customHeight="1">
      <c r="B73" s="522"/>
      <c r="C73" s="523"/>
      <c r="D73" s="524"/>
      <c r="E73" s="524"/>
      <c r="F73" s="524"/>
      <c r="G73" s="524"/>
      <c r="H73" s="524"/>
      <c r="I73" s="524"/>
      <c r="J73" s="524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5"/>
    </row>
    <row r="74" spans="2:22" s="508" customFormat="1" ht="144.94999999999999" customHeight="1">
      <c r="B74" s="522"/>
      <c r="C74" s="523"/>
      <c r="D74" s="524"/>
      <c r="E74" s="524"/>
      <c r="F74" s="524"/>
      <c r="G74" s="524"/>
      <c r="H74" s="524"/>
      <c r="I74" s="524"/>
      <c r="J74" s="524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5"/>
    </row>
    <row r="75" spans="2:22" s="508" customFormat="1" ht="144.94999999999999" customHeight="1">
      <c r="B75" s="522"/>
      <c r="C75" s="523"/>
      <c r="D75" s="524"/>
      <c r="E75" s="524"/>
      <c r="F75" s="524"/>
      <c r="G75" s="524"/>
      <c r="H75" s="524"/>
      <c r="I75" s="524"/>
      <c r="J75" s="524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5"/>
    </row>
    <row r="76" spans="2:22" s="508" customFormat="1" ht="17.45" customHeight="1">
      <c r="B76" s="512"/>
      <c r="C76" s="513"/>
      <c r="D76" s="526"/>
      <c r="E76" s="526"/>
      <c r="F76" s="526"/>
      <c r="G76" s="526"/>
      <c r="H76" s="526"/>
      <c r="I76" s="526"/>
      <c r="J76" s="526"/>
      <c r="K76" s="513"/>
      <c r="L76" s="513"/>
      <c r="M76" s="513"/>
      <c r="N76" s="513"/>
      <c r="O76" s="513"/>
      <c r="P76" s="513"/>
      <c r="Q76" s="513"/>
      <c r="R76" s="513"/>
      <c r="S76" s="513"/>
      <c r="T76" s="513"/>
      <c r="U76" s="513"/>
      <c r="V76" s="515"/>
    </row>
    <row r="77" spans="2:22" s="508" customFormat="1" ht="17.45" customHeight="1">
      <c r="B77" s="530"/>
      <c r="C77" s="999" t="s">
        <v>617</v>
      </c>
      <c r="D77" s="999"/>
      <c r="E77" s="999"/>
      <c r="F77" s="505"/>
      <c r="G77" s="1000" t="s">
        <v>821</v>
      </c>
      <c r="H77" s="1000"/>
      <c r="I77" s="1000"/>
      <c r="J77" s="1000"/>
      <c r="K77" s="1000"/>
      <c r="L77" s="1000"/>
      <c r="M77" s="506"/>
      <c r="N77" s="1000" t="s">
        <v>618</v>
      </c>
      <c r="O77" s="1000"/>
      <c r="P77" s="1000"/>
      <c r="Q77" s="1000"/>
      <c r="R77" s="1000"/>
      <c r="S77" s="1000"/>
      <c r="T77" s="1000"/>
      <c r="U77" s="1000"/>
      <c r="V77" s="507"/>
    </row>
    <row r="78" spans="2:22" s="508" customFormat="1" ht="17.45" customHeight="1">
      <c r="B78" s="509"/>
      <c r="C78" s="999" t="s">
        <v>619</v>
      </c>
      <c r="D78" s="999"/>
      <c r="E78" s="1030" t="s">
        <v>684</v>
      </c>
      <c r="F78" s="1030"/>
      <c r="G78" s="1030"/>
      <c r="H78" s="1030"/>
      <c r="I78" s="1030"/>
      <c r="J78" s="1030"/>
      <c r="K78" s="1005" t="s">
        <v>620</v>
      </c>
      <c r="L78" s="1005"/>
      <c r="M78" s="510"/>
      <c r="N78" s="1006" t="s">
        <v>685</v>
      </c>
      <c r="O78" s="1006"/>
      <c r="P78" s="1006"/>
      <c r="Q78" s="510"/>
      <c r="R78" s="510"/>
      <c r="S78" s="510"/>
      <c r="T78" s="510"/>
      <c r="U78" s="510"/>
      <c r="V78" s="511"/>
    </row>
    <row r="79" spans="2:22" s="508" customFormat="1" ht="17.45" customHeight="1">
      <c r="B79" s="512"/>
      <c r="C79" s="999"/>
      <c r="D79" s="999"/>
      <c r="E79" s="1030"/>
      <c r="F79" s="1030"/>
      <c r="G79" s="1030"/>
      <c r="H79" s="1030"/>
      <c r="I79" s="1030"/>
      <c r="J79" s="1030"/>
      <c r="K79" s="1007" t="s">
        <v>622</v>
      </c>
      <c r="L79" s="1007"/>
      <c r="M79" s="513"/>
      <c r="N79" s="1008">
        <v>1</v>
      </c>
      <c r="O79" s="1008"/>
      <c r="P79" s="1008"/>
      <c r="Q79" s="513"/>
      <c r="R79" s="1007" t="s">
        <v>623</v>
      </c>
      <c r="S79" s="1007"/>
      <c r="T79" s="513"/>
      <c r="U79" s="514" t="s">
        <v>657</v>
      </c>
      <c r="V79" s="515"/>
    </row>
    <row r="80" spans="2:22" s="508" customFormat="1" ht="17.45" customHeight="1">
      <c r="B80" s="997" t="s">
        <v>625</v>
      </c>
      <c r="C80" s="997"/>
      <c r="D80" s="998" t="s">
        <v>259</v>
      </c>
      <c r="E80" s="998"/>
      <c r="F80" s="998"/>
      <c r="G80" s="998"/>
      <c r="H80" s="998"/>
      <c r="I80" s="998"/>
      <c r="J80" s="997" t="s">
        <v>266</v>
      </c>
      <c r="K80" s="997"/>
      <c r="L80" s="997" t="s">
        <v>270</v>
      </c>
      <c r="M80" s="997"/>
      <c r="N80" s="997"/>
      <c r="O80" s="998" t="s">
        <v>626</v>
      </c>
      <c r="P80" s="998"/>
      <c r="Q80" s="998"/>
      <c r="R80" s="998"/>
      <c r="S80" s="998" t="s">
        <v>627</v>
      </c>
      <c r="T80" s="998"/>
      <c r="U80" s="998"/>
      <c r="V80" s="998"/>
    </row>
    <row r="81" spans="2:22" s="508" customFormat="1" ht="17.45" customHeight="1">
      <c r="B81" s="516"/>
      <c r="C81" s="517" t="s">
        <v>670</v>
      </c>
      <c r="D81" s="1060" t="s">
        <v>671</v>
      </c>
      <c r="E81" s="1060"/>
      <c r="F81" s="1060"/>
      <c r="G81" s="1060"/>
      <c r="H81" s="1060"/>
      <c r="I81" s="1060"/>
      <c r="J81" s="1061" t="s">
        <v>657</v>
      </c>
      <c r="K81" s="1061"/>
      <c r="L81" s="1062">
        <v>1.6999999999999999E-3</v>
      </c>
      <c r="M81" s="1062"/>
      <c r="N81" s="1062"/>
      <c r="O81" s="1063">
        <f>REAJUSTAMENTO!J13</f>
        <v>161.94999999999999</v>
      </c>
      <c r="P81" s="1063"/>
      <c r="Q81" s="1063"/>
      <c r="R81" s="1063"/>
      <c r="S81" s="1073">
        <f>L81*O81</f>
        <v>0.27531499999999998</v>
      </c>
      <c r="T81" s="1073"/>
      <c r="U81" s="1073"/>
      <c r="V81" s="1073"/>
    </row>
    <row r="82" spans="2:22" s="508" customFormat="1" ht="17.45" customHeight="1">
      <c r="B82" s="518"/>
      <c r="C82" s="519" t="s">
        <v>672</v>
      </c>
      <c r="D82" s="1065" t="s">
        <v>673</v>
      </c>
      <c r="E82" s="1065"/>
      <c r="F82" s="1065"/>
      <c r="G82" s="1065"/>
      <c r="H82" s="1065"/>
      <c r="I82" s="1065"/>
      <c r="J82" s="1066" t="s">
        <v>657</v>
      </c>
      <c r="K82" s="1066"/>
      <c r="L82" s="1067">
        <v>1.6999999999999999E-3</v>
      </c>
      <c r="M82" s="1067"/>
      <c r="N82" s="1067"/>
      <c r="O82" s="1068">
        <f>REAJUSTAMENTO!J15</f>
        <v>101.23</v>
      </c>
      <c r="P82" s="1068"/>
      <c r="Q82" s="1068"/>
      <c r="R82" s="1068"/>
      <c r="S82" s="1073">
        <f t="shared" ref="S82:S88" si="3">L82*O82</f>
        <v>0.17209099999999999</v>
      </c>
      <c r="T82" s="1073"/>
      <c r="U82" s="1073"/>
      <c r="V82" s="1073"/>
    </row>
    <row r="83" spans="2:22" s="508" customFormat="1" ht="17.45" customHeight="1">
      <c r="B83" s="518"/>
      <c r="C83" s="519" t="s">
        <v>674</v>
      </c>
      <c r="D83" s="1065" t="s">
        <v>675</v>
      </c>
      <c r="E83" s="1065"/>
      <c r="F83" s="1065"/>
      <c r="G83" s="1065"/>
      <c r="H83" s="1065"/>
      <c r="I83" s="1065"/>
      <c r="J83" s="1066" t="s">
        <v>657</v>
      </c>
      <c r="K83" s="1066"/>
      <c r="L83" s="1067">
        <v>1.6999999999999999E-3</v>
      </c>
      <c r="M83" s="1067"/>
      <c r="N83" s="1067"/>
      <c r="O83" s="1068">
        <f>REAJUSTAMENTO!J17</f>
        <v>91.09</v>
      </c>
      <c r="P83" s="1068"/>
      <c r="Q83" s="1068"/>
      <c r="R83" s="1068"/>
      <c r="S83" s="1073">
        <f t="shared" si="3"/>
        <v>0.15485299999999999</v>
      </c>
      <c r="T83" s="1073"/>
      <c r="U83" s="1073"/>
      <c r="V83" s="1073"/>
    </row>
    <row r="84" spans="2:22" s="508" customFormat="1" ht="17.45" customHeight="1">
      <c r="B84" s="518"/>
      <c r="C84" s="519" t="s">
        <v>676</v>
      </c>
      <c r="D84" s="1065" t="s">
        <v>677</v>
      </c>
      <c r="E84" s="1065"/>
      <c r="F84" s="1065"/>
      <c r="G84" s="1065"/>
      <c r="H84" s="1065"/>
      <c r="I84" s="1065"/>
      <c r="J84" s="1066" t="s">
        <v>657</v>
      </c>
      <c r="K84" s="1066"/>
      <c r="L84" s="1067">
        <v>1.6999999999999999E-3</v>
      </c>
      <c r="M84" s="1067"/>
      <c r="N84" s="1067"/>
      <c r="O84" s="1068">
        <f>REAJUSTAMENTO!J19</f>
        <v>192.32</v>
      </c>
      <c r="P84" s="1068"/>
      <c r="Q84" s="1068"/>
      <c r="R84" s="1068"/>
      <c r="S84" s="1073">
        <f t="shared" si="3"/>
        <v>0.32694399999999996</v>
      </c>
      <c r="T84" s="1073"/>
      <c r="U84" s="1073"/>
      <c r="V84" s="1073"/>
    </row>
    <row r="85" spans="2:22" s="508" customFormat="1" ht="17.45" customHeight="1">
      <c r="B85" s="518"/>
      <c r="C85" s="519" t="s">
        <v>678</v>
      </c>
      <c r="D85" s="1065" t="s">
        <v>679</v>
      </c>
      <c r="E85" s="1065"/>
      <c r="F85" s="1065"/>
      <c r="G85" s="1065"/>
      <c r="H85" s="1065"/>
      <c r="I85" s="1065"/>
      <c r="J85" s="1066" t="s">
        <v>657</v>
      </c>
      <c r="K85" s="1066"/>
      <c r="L85" s="1067">
        <v>5.0000000000000001E-3</v>
      </c>
      <c r="M85" s="1067"/>
      <c r="N85" s="1067"/>
      <c r="O85" s="1068">
        <f>REAJUSTAMENTO!J21</f>
        <v>80.959999999999994</v>
      </c>
      <c r="P85" s="1068"/>
      <c r="Q85" s="1068"/>
      <c r="R85" s="1068"/>
      <c r="S85" s="1073">
        <f t="shared" si="3"/>
        <v>0.40479999999999999</v>
      </c>
      <c r="T85" s="1073"/>
      <c r="U85" s="1073"/>
      <c r="V85" s="1073"/>
    </row>
    <row r="86" spans="2:22" s="508" customFormat="1" ht="17.45" customHeight="1">
      <c r="B86" s="518"/>
      <c r="C86" s="519" t="s">
        <v>680</v>
      </c>
      <c r="D86" s="1065" t="s">
        <v>681</v>
      </c>
      <c r="E86" s="1065"/>
      <c r="F86" s="1065"/>
      <c r="G86" s="1065"/>
      <c r="H86" s="1065"/>
      <c r="I86" s="1065"/>
      <c r="J86" s="1066" t="s">
        <v>657</v>
      </c>
      <c r="K86" s="1066"/>
      <c r="L86" s="1067">
        <v>1.6999999999999999E-3</v>
      </c>
      <c r="M86" s="1067"/>
      <c r="N86" s="1067"/>
      <c r="O86" s="1068">
        <f>REAJUSTAMENTO!J23</f>
        <v>232.82</v>
      </c>
      <c r="P86" s="1068"/>
      <c r="Q86" s="1068"/>
      <c r="R86" s="1068"/>
      <c r="S86" s="1073">
        <f t="shared" si="3"/>
        <v>0.39579399999999998</v>
      </c>
      <c r="T86" s="1073"/>
      <c r="U86" s="1073"/>
      <c r="V86" s="1073"/>
    </row>
    <row r="87" spans="2:22" s="508" customFormat="1" ht="17.45" customHeight="1">
      <c r="B87" s="518"/>
      <c r="C87" s="519" t="s">
        <v>682</v>
      </c>
      <c r="D87" s="1065" t="s">
        <v>683</v>
      </c>
      <c r="E87" s="1065"/>
      <c r="F87" s="1065"/>
      <c r="G87" s="1065"/>
      <c r="H87" s="1065"/>
      <c r="I87" s="1065"/>
      <c r="J87" s="1066" t="s">
        <v>657</v>
      </c>
      <c r="K87" s="1066"/>
      <c r="L87" s="1067">
        <v>5.0000000000000001E-3</v>
      </c>
      <c r="M87" s="1067"/>
      <c r="N87" s="1067"/>
      <c r="O87" s="1068">
        <f>REAJUSTAMENTO!J25</f>
        <v>60.72</v>
      </c>
      <c r="P87" s="1068"/>
      <c r="Q87" s="1068"/>
      <c r="R87" s="1068"/>
      <c r="S87" s="1073">
        <f t="shared" si="3"/>
        <v>0.30359999999999998</v>
      </c>
      <c r="T87" s="1073"/>
      <c r="U87" s="1073"/>
      <c r="V87" s="1073"/>
    </row>
    <row r="88" spans="2:22" s="508" customFormat="1" ht="17.45" customHeight="1">
      <c r="B88" s="520"/>
      <c r="C88" s="521" t="s">
        <v>686</v>
      </c>
      <c r="D88" s="1069" t="s">
        <v>687</v>
      </c>
      <c r="E88" s="1069"/>
      <c r="F88" s="1069"/>
      <c r="G88" s="1069"/>
      <c r="H88" s="1069"/>
      <c r="I88" s="1069"/>
      <c r="J88" s="1070" t="s">
        <v>657</v>
      </c>
      <c r="K88" s="1070"/>
      <c r="L88" s="1071">
        <v>1.6999999999999999E-3</v>
      </c>
      <c r="M88" s="1071"/>
      <c r="N88" s="1071"/>
      <c r="O88" s="1072">
        <f>REAJUSTAMENTO!J27</f>
        <v>91.09</v>
      </c>
      <c r="P88" s="1072"/>
      <c r="Q88" s="1072"/>
      <c r="R88" s="1072"/>
      <c r="S88" s="1073">
        <f t="shared" si="3"/>
        <v>0.15485299999999999</v>
      </c>
      <c r="T88" s="1073"/>
      <c r="U88" s="1073"/>
      <c r="V88" s="1073"/>
    </row>
    <row r="89" spans="2:22" s="508" customFormat="1" ht="17.45" customHeight="1">
      <c r="B89" s="965"/>
      <c r="C89" s="965"/>
      <c r="D89" s="965"/>
      <c r="E89" s="965"/>
      <c r="F89" s="965"/>
      <c r="G89" s="965"/>
      <c r="H89" s="965"/>
      <c r="I89" s="966" t="s">
        <v>645</v>
      </c>
      <c r="J89" s="966"/>
      <c r="K89" s="966"/>
      <c r="L89" s="966"/>
      <c r="M89" s="966"/>
      <c r="N89" s="966"/>
      <c r="O89" s="966"/>
      <c r="P89" s="966"/>
      <c r="Q89" s="966"/>
      <c r="R89" s="966"/>
      <c r="S89" s="1029">
        <f>SUM(S81:V88)</f>
        <v>2.18825</v>
      </c>
      <c r="T89" s="1029"/>
      <c r="U89" s="1029"/>
      <c r="V89" s="1029"/>
    </row>
    <row r="90" spans="2:22" s="508" customFormat="1" ht="17.45" customHeight="1">
      <c r="B90" s="967"/>
      <c r="C90" s="967"/>
      <c r="D90" s="967"/>
      <c r="E90" s="967"/>
      <c r="F90" s="967"/>
      <c r="G90" s="967"/>
      <c r="H90" s="967"/>
      <c r="I90" s="967"/>
      <c r="J90" s="967"/>
      <c r="K90" s="967"/>
      <c r="L90" s="967"/>
      <c r="M90" s="967"/>
      <c r="N90" s="967"/>
      <c r="O90" s="967"/>
      <c r="P90" s="967"/>
      <c r="Q90" s="967"/>
      <c r="R90" s="967"/>
      <c r="S90" s="967"/>
      <c r="T90" s="967"/>
      <c r="U90" s="967"/>
      <c r="V90" s="967"/>
    </row>
    <row r="91" spans="2:22" s="508" customFormat="1" ht="17.45" customHeight="1">
      <c r="B91" s="968"/>
      <c r="C91" s="968"/>
      <c r="D91" s="968"/>
      <c r="E91" s="968"/>
      <c r="F91" s="968"/>
      <c r="G91" s="968"/>
      <c r="H91" s="968"/>
      <c r="I91" s="969" t="s">
        <v>646</v>
      </c>
      <c r="J91" s="969"/>
      <c r="K91" s="969"/>
      <c r="L91" s="969"/>
      <c r="M91" s="969"/>
      <c r="N91" s="969"/>
      <c r="O91" s="969"/>
      <c r="P91" s="969"/>
      <c r="Q91" s="969"/>
      <c r="R91" s="969"/>
      <c r="S91" s="963">
        <f>S89</f>
        <v>2.18825</v>
      </c>
      <c r="T91" s="963"/>
      <c r="U91" s="963"/>
      <c r="V91" s="964"/>
    </row>
    <row r="92" spans="2:22" s="508" customFormat="1" ht="17.45" customHeight="1">
      <c r="B92" s="968"/>
      <c r="C92" s="968"/>
      <c r="D92" s="968"/>
      <c r="E92" s="968"/>
      <c r="F92" s="968"/>
      <c r="G92" s="968"/>
      <c r="H92" s="969" t="s">
        <v>647</v>
      </c>
      <c r="I92" s="969"/>
      <c r="J92" s="969"/>
      <c r="K92" s="969"/>
      <c r="L92" s="969"/>
      <c r="M92" s="970">
        <v>20.7</v>
      </c>
      <c r="N92" s="970"/>
      <c r="O92" s="970"/>
      <c r="P92" s="969" t="s">
        <v>648</v>
      </c>
      <c r="Q92" s="969"/>
      <c r="R92" s="969"/>
      <c r="S92" s="963">
        <f>S91*M92%</f>
        <v>0.45296775</v>
      </c>
      <c r="T92" s="963"/>
      <c r="U92" s="963"/>
      <c r="V92" s="964"/>
    </row>
    <row r="93" spans="2:22" s="508" customFormat="1" ht="17.45" customHeight="1">
      <c r="B93" s="968"/>
      <c r="C93" s="968"/>
      <c r="D93" s="968"/>
      <c r="E93" s="968"/>
      <c r="F93" s="968"/>
      <c r="G93" s="968"/>
      <c r="H93" s="968"/>
      <c r="I93" s="969" t="s">
        <v>649</v>
      </c>
      <c r="J93" s="969"/>
      <c r="K93" s="969"/>
      <c r="L93" s="969"/>
      <c r="M93" s="969"/>
      <c r="N93" s="969"/>
      <c r="O93" s="969"/>
      <c r="P93" s="969"/>
      <c r="Q93" s="969"/>
      <c r="R93" s="969"/>
      <c r="S93" s="963">
        <f>S91+S92</f>
        <v>2.64121775</v>
      </c>
      <c r="T93" s="963"/>
      <c r="U93" s="963"/>
      <c r="V93" s="964"/>
    </row>
    <row r="94" spans="2:22" s="508" customFormat="1" ht="144.94999999999999" customHeight="1">
      <c r="B94" s="522"/>
      <c r="C94" s="523"/>
      <c r="D94" s="524"/>
      <c r="E94" s="524"/>
      <c r="F94" s="524"/>
      <c r="G94" s="524"/>
      <c r="H94" s="524"/>
      <c r="I94" s="524"/>
      <c r="J94" s="524"/>
      <c r="K94" s="523"/>
      <c r="L94" s="523"/>
      <c r="M94" s="523"/>
      <c r="N94" s="523"/>
      <c r="O94" s="523"/>
      <c r="P94" s="523"/>
      <c r="Q94" s="523"/>
      <c r="R94" s="523"/>
      <c r="S94" s="523"/>
      <c r="T94" s="523"/>
      <c r="U94" s="523"/>
      <c r="V94" s="525"/>
    </row>
    <row r="95" spans="2:22" s="508" customFormat="1" ht="144.94999999999999" customHeight="1">
      <c r="B95" s="522"/>
      <c r="C95" s="523"/>
      <c r="D95" s="524"/>
      <c r="E95" s="524"/>
      <c r="F95" s="524"/>
      <c r="G95" s="524"/>
      <c r="H95" s="524"/>
      <c r="I95" s="524"/>
      <c r="J95" s="524"/>
      <c r="K95" s="523"/>
      <c r="L95" s="523"/>
      <c r="M95" s="523"/>
      <c r="N95" s="523"/>
      <c r="O95" s="523"/>
      <c r="P95" s="523"/>
      <c r="Q95" s="523"/>
      <c r="R95" s="523"/>
      <c r="S95" s="523"/>
      <c r="T95" s="523"/>
      <c r="U95" s="523"/>
      <c r="V95" s="525"/>
    </row>
    <row r="96" spans="2:22" s="508" customFormat="1" ht="144.94999999999999" customHeight="1">
      <c r="B96" s="522"/>
      <c r="C96" s="523"/>
      <c r="D96" s="524"/>
      <c r="E96" s="524"/>
      <c r="F96" s="524"/>
      <c r="G96" s="524"/>
      <c r="H96" s="524"/>
      <c r="I96" s="524"/>
      <c r="J96" s="524"/>
      <c r="K96" s="523"/>
      <c r="L96" s="523"/>
      <c r="M96" s="523"/>
      <c r="N96" s="523"/>
      <c r="O96" s="523"/>
      <c r="P96" s="523"/>
      <c r="Q96" s="523"/>
      <c r="R96" s="523"/>
      <c r="S96" s="523"/>
      <c r="T96" s="523"/>
      <c r="U96" s="523"/>
      <c r="V96" s="525"/>
    </row>
    <row r="97" spans="2:22" s="508" customFormat="1" ht="17.45" customHeight="1">
      <c r="B97" s="512"/>
      <c r="C97" s="513"/>
      <c r="D97" s="526"/>
      <c r="E97" s="526"/>
      <c r="F97" s="526"/>
      <c r="G97" s="526"/>
      <c r="H97" s="526"/>
      <c r="I97" s="526"/>
      <c r="J97" s="526"/>
      <c r="K97" s="513"/>
      <c r="L97" s="513"/>
      <c r="M97" s="513"/>
      <c r="N97" s="513"/>
      <c r="O97" s="513"/>
      <c r="P97" s="513"/>
      <c r="Q97" s="513"/>
      <c r="R97" s="513"/>
      <c r="S97" s="513"/>
      <c r="T97" s="513"/>
      <c r="U97" s="513"/>
      <c r="V97" s="515"/>
    </row>
    <row r="98" spans="2:22" s="508" customFormat="1" ht="17.45" customHeight="1">
      <c r="B98" s="530"/>
      <c r="C98" s="999" t="s">
        <v>617</v>
      </c>
      <c r="D98" s="999"/>
      <c r="E98" s="999"/>
      <c r="F98" s="505"/>
      <c r="G98" s="1000" t="s">
        <v>821</v>
      </c>
      <c r="H98" s="1000"/>
      <c r="I98" s="1000"/>
      <c r="J98" s="1000"/>
      <c r="K98" s="1000"/>
      <c r="L98" s="1000"/>
      <c r="M98" s="506"/>
      <c r="N98" s="1000" t="s">
        <v>618</v>
      </c>
      <c r="O98" s="1000"/>
      <c r="P98" s="1000"/>
      <c r="Q98" s="1000"/>
      <c r="R98" s="1000"/>
      <c r="S98" s="1000"/>
      <c r="T98" s="1000"/>
      <c r="U98" s="1000"/>
      <c r="V98" s="507"/>
    </row>
    <row r="99" spans="2:22" s="508" customFormat="1" ht="17.45" customHeight="1">
      <c r="B99" s="509"/>
      <c r="C99" s="999" t="s">
        <v>619</v>
      </c>
      <c r="D99" s="999"/>
      <c r="E99" s="1030" t="s">
        <v>688</v>
      </c>
      <c r="F99" s="1030"/>
      <c r="G99" s="1030"/>
      <c r="H99" s="1030"/>
      <c r="I99" s="1030"/>
      <c r="J99" s="1030"/>
      <c r="K99" s="1005" t="s">
        <v>620</v>
      </c>
      <c r="L99" s="1005"/>
      <c r="M99" s="510"/>
      <c r="N99" s="1006" t="s">
        <v>689</v>
      </c>
      <c r="O99" s="1006"/>
      <c r="P99" s="1006"/>
      <c r="Q99" s="510"/>
      <c r="R99" s="510"/>
      <c r="S99" s="510"/>
      <c r="T99" s="510"/>
      <c r="U99" s="510"/>
      <c r="V99" s="511"/>
    </row>
    <row r="100" spans="2:22" s="508" customFormat="1" ht="17.45" customHeight="1">
      <c r="B100" s="512"/>
      <c r="C100" s="999"/>
      <c r="D100" s="999"/>
      <c r="E100" s="1030"/>
      <c r="F100" s="1030"/>
      <c r="G100" s="1030"/>
      <c r="H100" s="1030"/>
      <c r="I100" s="1030"/>
      <c r="J100" s="1030"/>
      <c r="K100" s="1007" t="s">
        <v>622</v>
      </c>
      <c r="L100" s="1007"/>
      <c r="M100" s="513"/>
      <c r="N100" s="1008">
        <v>1</v>
      </c>
      <c r="O100" s="1008"/>
      <c r="P100" s="1008"/>
      <c r="Q100" s="513"/>
      <c r="R100" s="1007" t="s">
        <v>623</v>
      </c>
      <c r="S100" s="1007"/>
      <c r="T100" s="513"/>
      <c r="U100" s="514" t="s">
        <v>657</v>
      </c>
      <c r="V100" s="515"/>
    </row>
    <row r="101" spans="2:22" s="508" customFormat="1" ht="17.45" customHeight="1">
      <c r="B101" s="997" t="s">
        <v>625</v>
      </c>
      <c r="C101" s="997"/>
      <c r="D101" s="998" t="s">
        <v>259</v>
      </c>
      <c r="E101" s="998"/>
      <c r="F101" s="998"/>
      <c r="G101" s="998"/>
      <c r="H101" s="998"/>
      <c r="I101" s="998"/>
      <c r="J101" s="997" t="s">
        <v>266</v>
      </c>
      <c r="K101" s="997"/>
      <c r="L101" s="997" t="s">
        <v>270</v>
      </c>
      <c r="M101" s="997"/>
      <c r="N101" s="997"/>
      <c r="O101" s="998" t="s">
        <v>626</v>
      </c>
      <c r="P101" s="998"/>
      <c r="Q101" s="998"/>
      <c r="R101" s="998"/>
      <c r="S101" s="998" t="s">
        <v>627</v>
      </c>
      <c r="T101" s="998"/>
      <c r="U101" s="998"/>
      <c r="V101" s="998"/>
    </row>
    <row r="102" spans="2:22" s="508" customFormat="1" ht="17.45" customHeight="1">
      <c r="B102" s="516"/>
      <c r="C102" s="517" t="s">
        <v>670</v>
      </c>
      <c r="D102" s="1060" t="s">
        <v>671</v>
      </c>
      <c r="E102" s="1060"/>
      <c r="F102" s="1060"/>
      <c r="G102" s="1060"/>
      <c r="H102" s="1060"/>
      <c r="I102" s="1060"/>
      <c r="J102" s="1061" t="s">
        <v>657</v>
      </c>
      <c r="K102" s="1061"/>
      <c r="L102" s="1062">
        <v>1.6999999999999999E-3</v>
      </c>
      <c r="M102" s="1062"/>
      <c r="N102" s="1062"/>
      <c r="O102" s="1063">
        <f>REAJUSTAMENTO!J13</f>
        <v>161.94999999999999</v>
      </c>
      <c r="P102" s="1063"/>
      <c r="Q102" s="1063"/>
      <c r="R102" s="1063"/>
      <c r="S102" s="1073">
        <f>L102*O102</f>
        <v>0.27531499999999998</v>
      </c>
      <c r="T102" s="1073"/>
      <c r="U102" s="1073"/>
      <c r="V102" s="1073"/>
    </row>
    <row r="103" spans="2:22" s="508" customFormat="1" ht="17.45" customHeight="1">
      <c r="B103" s="518"/>
      <c r="C103" s="519" t="s">
        <v>672</v>
      </c>
      <c r="D103" s="1065" t="s">
        <v>673</v>
      </c>
      <c r="E103" s="1065"/>
      <c r="F103" s="1065"/>
      <c r="G103" s="1065"/>
      <c r="H103" s="1065"/>
      <c r="I103" s="1065"/>
      <c r="J103" s="1066" t="s">
        <v>657</v>
      </c>
      <c r="K103" s="1066"/>
      <c r="L103" s="1067">
        <v>1.6999999999999999E-3</v>
      </c>
      <c r="M103" s="1067"/>
      <c r="N103" s="1067"/>
      <c r="O103" s="1068">
        <f>REAJUSTAMENTO!J15</f>
        <v>101.23</v>
      </c>
      <c r="P103" s="1068"/>
      <c r="Q103" s="1068"/>
      <c r="R103" s="1068"/>
      <c r="S103" s="1073">
        <f t="shared" ref="S103:S109" si="4">L103*O103</f>
        <v>0.17209099999999999</v>
      </c>
      <c r="T103" s="1073"/>
      <c r="U103" s="1073"/>
      <c r="V103" s="1073"/>
    </row>
    <row r="104" spans="2:22" s="508" customFormat="1" ht="17.45" customHeight="1">
      <c r="B104" s="518"/>
      <c r="C104" s="519" t="s">
        <v>674</v>
      </c>
      <c r="D104" s="1065" t="s">
        <v>675</v>
      </c>
      <c r="E104" s="1065"/>
      <c r="F104" s="1065"/>
      <c r="G104" s="1065"/>
      <c r="H104" s="1065"/>
      <c r="I104" s="1065"/>
      <c r="J104" s="1066" t="s">
        <v>657</v>
      </c>
      <c r="K104" s="1066"/>
      <c r="L104" s="1067">
        <v>1.6999999999999999E-3</v>
      </c>
      <c r="M104" s="1067"/>
      <c r="N104" s="1067"/>
      <c r="O104" s="1068">
        <f>REAJUSTAMENTO!J17</f>
        <v>91.09</v>
      </c>
      <c r="P104" s="1068"/>
      <c r="Q104" s="1068"/>
      <c r="R104" s="1068"/>
      <c r="S104" s="1073">
        <f t="shared" si="4"/>
        <v>0.15485299999999999</v>
      </c>
      <c r="T104" s="1073"/>
      <c r="U104" s="1073"/>
      <c r="V104" s="1073"/>
    </row>
    <row r="105" spans="2:22" s="508" customFormat="1" ht="17.45" customHeight="1">
      <c r="B105" s="518"/>
      <c r="C105" s="519" t="s">
        <v>676</v>
      </c>
      <c r="D105" s="1065" t="s">
        <v>677</v>
      </c>
      <c r="E105" s="1065"/>
      <c r="F105" s="1065"/>
      <c r="G105" s="1065"/>
      <c r="H105" s="1065"/>
      <c r="I105" s="1065"/>
      <c r="J105" s="1066" t="s">
        <v>657</v>
      </c>
      <c r="K105" s="1066"/>
      <c r="L105" s="1067">
        <v>1.6999999999999999E-3</v>
      </c>
      <c r="M105" s="1067"/>
      <c r="N105" s="1067"/>
      <c r="O105" s="1068">
        <f>REAJUSTAMENTO!J19</f>
        <v>192.32</v>
      </c>
      <c r="P105" s="1068"/>
      <c r="Q105" s="1068"/>
      <c r="R105" s="1068"/>
      <c r="S105" s="1073">
        <f t="shared" si="4"/>
        <v>0.32694399999999996</v>
      </c>
      <c r="T105" s="1073"/>
      <c r="U105" s="1073"/>
      <c r="V105" s="1073"/>
    </row>
    <row r="106" spans="2:22" s="508" customFormat="1" ht="17.45" customHeight="1">
      <c r="B106" s="518"/>
      <c r="C106" s="519" t="s">
        <v>678</v>
      </c>
      <c r="D106" s="1065" t="s">
        <v>679</v>
      </c>
      <c r="E106" s="1065"/>
      <c r="F106" s="1065"/>
      <c r="G106" s="1065"/>
      <c r="H106" s="1065"/>
      <c r="I106" s="1065"/>
      <c r="J106" s="1066" t="s">
        <v>657</v>
      </c>
      <c r="K106" s="1066"/>
      <c r="L106" s="1067">
        <v>5.0000000000000001E-3</v>
      </c>
      <c r="M106" s="1067"/>
      <c r="N106" s="1067"/>
      <c r="O106" s="1068">
        <f>REAJUSTAMENTO!J21</f>
        <v>80.959999999999994</v>
      </c>
      <c r="P106" s="1068"/>
      <c r="Q106" s="1068"/>
      <c r="R106" s="1068"/>
      <c r="S106" s="1073">
        <f t="shared" si="4"/>
        <v>0.40479999999999999</v>
      </c>
      <c r="T106" s="1073"/>
      <c r="U106" s="1073"/>
      <c r="V106" s="1073"/>
    </row>
    <row r="107" spans="2:22" s="508" customFormat="1" ht="17.45" customHeight="1">
      <c r="B107" s="518"/>
      <c r="C107" s="519" t="s">
        <v>680</v>
      </c>
      <c r="D107" s="1065" t="s">
        <v>681</v>
      </c>
      <c r="E107" s="1065"/>
      <c r="F107" s="1065"/>
      <c r="G107" s="1065"/>
      <c r="H107" s="1065"/>
      <c r="I107" s="1065"/>
      <c r="J107" s="1066" t="s">
        <v>657</v>
      </c>
      <c r="K107" s="1066"/>
      <c r="L107" s="1067">
        <v>1.6999999999999999E-3</v>
      </c>
      <c r="M107" s="1067"/>
      <c r="N107" s="1067"/>
      <c r="O107" s="1068">
        <f>REAJUSTAMENTO!J23</f>
        <v>232.82</v>
      </c>
      <c r="P107" s="1068"/>
      <c r="Q107" s="1068"/>
      <c r="R107" s="1068"/>
      <c r="S107" s="1073">
        <f t="shared" si="4"/>
        <v>0.39579399999999998</v>
      </c>
      <c r="T107" s="1073"/>
      <c r="U107" s="1073"/>
      <c r="V107" s="1073"/>
    </row>
    <row r="108" spans="2:22" s="508" customFormat="1" ht="17.45" customHeight="1">
      <c r="B108" s="518"/>
      <c r="C108" s="519" t="s">
        <v>682</v>
      </c>
      <c r="D108" s="1065" t="s">
        <v>683</v>
      </c>
      <c r="E108" s="1065"/>
      <c r="F108" s="1065"/>
      <c r="G108" s="1065"/>
      <c r="H108" s="1065"/>
      <c r="I108" s="1065"/>
      <c r="J108" s="1066" t="s">
        <v>657</v>
      </c>
      <c r="K108" s="1066"/>
      <c r="L108" s="1067">
        <v>5.0000000000000001E-3</v>
      </c>
      <c r="M108" s="1067"/>
      <c r="N108" s="1067"/>
      <c r="O108" s="1068">
        <f>REAJUSTAMENTO!J25</f>
        <v>60.72</v>
      </c>
      <c r="P108" s="1068"/>
      <c r="Q108" s="1068"/>
      <c r="R108" s="1068"/>
      <c r="S108" s="1073">
        <f t="shared" si="4"/>
        <v>0.30359999999999998</v>
      </c>
      <c r="T108" s="1073"/>
      <c r="U108" s="1073"/>
      <c r="V108" s="1073"/>
    </row>
    <row r="109" spans="2:22" s="508" customFormat="1" ht="17.45" customHeight="1">
      <c r="B109" s="520"/>
      <c r="C109" s="521" t="s">
        <v>686</v>
      </c>
      <c r="D109" s="1069" t="s">
        <v>687</v>
      </c>
      <c r="E109" s="1069"/>
      <c r="F109" s="1069"/>
      <c r="G109" s="1069"/>
      <c r="H109" s="1069"/>
      <c r="I109" s="1069"/>
      <c r="J109" s="1070" t="s">
        <v>657</v>
      </c>
      <c r="K109" s="1070"/>
      <c r="L109" s="1071">
        <v>1.6999999999999999E-3</v>
      </c>
      <c r="M109" s="1071"/>
      <c r="N109" s="1071"/>
      <c r="O109" s="1072">
        <f>REAJUSTAMENTO!J27</f>
        <v>91.09</v>
      </c>
      <c r="P109" s="1072"/>
      <c r="Q109" s="1072"/>
      <c r="R109" s="1072"/>
      <c r="S109" s="1073">
        <f t="shared" si="4"/>
        <v>0.15485299999999999</v>
      </c>
      <c r="T109" s="1073"/>
      <c r="U109" s="1073"/>
      <c r="V109" s="1073"/>
    </row>
    <row r="110" spans="2:22" s="508" customFormat="1" ht="17.45" customHeight="1">
      <c r="B110" s="965"/>
      <c r="C110" s="965"/>
      <c r="D110" s="965"/>
      <c r="E110" s="965"/>
      <c r="F110" s="965"/>
      <c r="G110" s="965"/>
      <c r="H110" s="965"/>
      <c r="I110" s="966" t="s">
        <v>645</v>
      </c>
      <c r="J110" s="966"/>
      <c r="K110" s="966"/>
      <c r="L110" s="966"/>
      <c r="M110" s="966"/>
      <c r="N110" s="966"/>
      <c r="O110" s="966"/>
      <c r="P110" s="966"/>
      <c r="Q110" s="966"/>
      <c r="R110" s="966"/>
      <c r="S110" s="1029">
        <f>SUM(S102:V109)</f>
        <v>2.18825</v>
      </c>
      <c r="T110" s="1029"/>
      <c r="U110" s="1029"/>
      <c r="V110" s="1029"/>
    </row>
    <row r="111" spans="2:22" s="508" customFormat="1" ht="17.45" customHeight="1">
      <c r="B111" s="967"/>
      <c r="C111" s="967"/>
      <c r="D111" s="967"/>
      <c r="E111" s="967"/>
      <c r="F111" s="967"/>
      <c r="G111" s="967"/>
      <c r="H111" s="967"/>
      <c r="I111" s="967"/>
      <c r="J111" s="967"/>
      <c r="K111" s="967"/>
      <c r="L111" s="967"/>
      <c r="M111" s="967"/>
      <c r="N111" s="967"/>
      <c r="O111" s="967"/>
      <c r="P111" s="967"/>
      <c r="Q111" s="967"/>
      <c r="R111" s="967"/>
      <c r="S111" s="967"/>
      <c r="T111" s="967"/>
      <c r="U111" s="967"/>
      <c r="V111" s="967"/>
    </row>
    <row r="112" spans="2:22" s="508" customFormat="1" ht="17.45" customHeight="1">
      <c r="B112" s="968"/>
      <c r="C112" s="968"/>
      <c r="D112" s="968"/>
      <c r="E112" s="968"/>
      <c r="F112" s="968"/>
      <c r="G112" s="968"/>
      <c r="H112" s="968"/>
      <c r="I112" s="969" t="s">
        <v>646</v>
      </c>
      <c r="J112" s="969"/>
      <c r="K112" s="969"/>
      <c r="L112" s="969"/>
      <c r="M112" s="969"/>
      <c r="N112" s="969"/>
      <c r="O112" s="969"/>
      <c r="P112" s="969"/>
      <c r="Q112" s="969"/>
      <c r="R112" s="969"/>
      <c r="S112" s="963">
        <f>S110</f>
        <v>2.18825</v>
      </c>
      <c r="T112" s="963"/>
      <c r="U112" s="963"/>
      <c r="V112" s="964"/>
    </row>
    <row r="113" spans="2:22" s="508" customFormat="1" ht="17.45" customHeight="1">
      <c r="B113" s="968"/>
      <c r="C113" s="968"/>
      <c r="D113" s="968"/>
      <c r="E113" s="968"/>
      <c r="F113" s="968"/>
      <c r="G113" s="968"/>
      <c r="H113" s="969" t="s">
        <v>647</v>
      </c>
      <c r="I113" s="969"/>
      <c r="J113" s="969"/>
      <c r="K113" s="969"/>
      <c r="L113" s="969"/>
      <c r="M113" s="970">
        <v>20.7</v>
      </c>
      <c r="N113" s="970"/>
      <c r="O113" s="970"/>
      <c r="P113" s="969" t="s">
        <v>648</v>
      </c>
      <c r="Q113" s="969"/>
      <c r="R113" s="969"/>
      <c r="S113" s="963">
        <f>S112*M113%</f>
        <v>0.45296775</v>
      </c>
      <c r="T113" s="963"/>
      <c r="U113" s="963"/>
      <c r="V113" s="964"/>
    </row>
    <row r="114" spans="2:22" s="508" customFormat="1" ht="17.45" customHeight="1">
      <c r="B114" s="968"/>
      <c r="C114" s="968"/>
      <c r="D114" s="968"/>
      <c r="E114" s="968"/>
      <c r="F114" s="968"/>
      <c r="G114" s="968"/>
      <c r="H114" s="968"/>
      <c r="I114" s="969" t="s">
        <v>649</v>
      </c>
      <c r="J114" s="969"/>
      <c r="K114" s="969"/>
      <c r="L114" s="969"/>
      <c r="M114" s="969"/>
      <c r="N114" s="969"/>
      <c r="O114" s="969"/>
      <c r="P114" s="969"/>
      <c r="Q114" s="969"/>
      <c r="R114" s="969"/>
      <c r="S114" s="963">
        <f>S112+S113</f>
        <v>2.64121775</v>
      </c>
      <c r="T114" s="963"/>
      <c r="U114" s="963"/>
      <c r="V114" s="964"/>
    </row>
    <row r="115" spans="2:22" s="508" customFormat="1" ht="144.94999999999999" customHeight="1">
      <c r="B115" s="522"/>
      <c r="C115" s="523"/>
      <c r="D115" s="524"/>
      <c r="E115" s="524"/>
      <c r="F115" s="524"/>
      <c r="G115" s="524"/>
      <c r="H115" s="524"/>
      <c r="I115" s="524"/>
      <c r="J115" s="524"/>
      <c r="K115" s="523"/>
      <c r="L115" s="523"/>
      <c r="M115" s="523"/>
      <c r="N115" s="523"/>
      <c r="O115" s="523"/>
      <c r="P115" s="523"/>
      <c r="Q115" s="523"/>
      <c r="R115" s="523"/>
      <c r="S115" s="523"/>
      <c r="T115" s="523"/>
      <c r="U115" s="523"/>
      <c r="V115" s="525"/>
    </row>
    <row r="116" spans="2:22" s="508" customFormat="1" ht="144.94999999999999" customHeight="1">
      <c r="B116" s="522"/>
      <c r="C116" s="523"/>
      <c r="D116" s="524"/>
      <c r="E116" s="524"/>
      <c r="F116" s="524"/>
      <c r="G116" s="524"/>
      <c r="H116" s="524"/>
      <c r="I116" s="524"/>
      <c r="J116" s="524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5"/>
    </row>
    <row r="117" spans="2:22" s="508" customFormat="1" ht="144.94999999999999" customHeight="1">
      <c r="B117" s="522"/>
      <c r="C117" s="523"/>
      <c r="D117" s="524"/>
      <c r="E117" s="524"/>
      <c r="F117" s="524"/>
      <c r="G117" s="524"/>
      <c r="H117" s="524"/>
      <c r="I117" s="524"/>
      <c r="J117" s="524"/>
      <c r="K117" s="523"/>
      <c r="L117" s="523"/>
      <c r="M117" s="523"/>
      <c r="N117" s="523"/>
      <c r="O117" s="523"/>
      <c r="P117" s="523"/>
      <c r="Q117" s="523"/>
      <c r="R117" s="523"/>
      <c r="S117" s="523"/>
      <c r="T117" s="523"/>
      <c r="U117" s="523"/>
      <c r="V117" s="525"/>
    </row>
    <row r="118" spans="2:22" s="508" customFormat="1" ht="17.45" customHeight="1">
      <c r="B118" s="512"/>
      <c r="C118" s="513"/>
      <c r="D118" s="526"/>
      <c r="E118" s="526"/>
      <c r="F118" s="526"/>
      <c r="G118" s="526"/>
      <c r="H118" s="526"/>
      <c r="I118" s="526"/>
      <c r="J118" s="526"/>
      <c r="K118" s="513"/>
      <c r="L118" s="513"/>
      <c r="M118" s="513"/>
      <c r="N118" s="513"/>
      <c r="O118" s="513"/>
      <c r="P118" s="513"/>
      <c r="Q118" s="513"/>
      <c r="R118" s="513"/>
      <c r="S118" s="513"/>
      <c r="T118" s="513"/>
      <c r="U118" s="513"/>
      <c r="V118" s="515"/>
    </row>
    <row r="119" spans="2:22" s="508" customFormat="1" ht="17.45" customHeight="1">
      <c r="B119" s="530"/>
      <c r="C119" s="999" t="s">
        <v>617</v>
      </c>
      <c r="D119" s="999"/>
      <c r="E119" s="999"/>
      <c r="F119" s="505"/>
      <c r="G119" s="1000" t="s">
        <v>821</v>
      </c>
      <c r="H119" s="1000"/>
      <c r="I119" s="1000"/>
      <c r="J119" s="1000"/>
      <c r="K119" s="1000"/>
      <c r="L119" s="1000"/>
      <c r="M119" s="506"/>
      <c r="N119" s="1000" t="s">
        <v>618</v>
      </c>
      <c r="O119" s="1000"/>
      <c r="P119" s="1000"/>
      <c r="Q119" s="1000"/>
      <c r="R119" s="1000"/>
      <c r="S119" s="1000"/>
      <c r="T119" s="1000"/>
      <c r="U119" s="1000"/>
      <c r="V119" s="507"/>
    </row>
    <row r="120" spans="2:22" s="508" customFormat="1" ht="17.45" customHeight="1">
      <c r="B120" s="509"/>
      <c r="C120" s="999" t="s">
        <v>619</v>
      </c>
      <c r="D120" s="999"/>
      <c r="E120" s="1030" t="s">
        <v>690</v>
      </c>
      <c r="F120" s="1030"/>
      <c r="G120" s="1030"/>
      <c r="H120" s="1030"/>
      <c r="I120" s="1030"/>
      <c r="J120" s="1030"/>
      <c r="K120" s="1005" t="s">
        <v>620</v>
      </c>
      <c r="L120" s="1005"/>
      <c r="M120" s="510"/>
      <c r="N120" s="1006" t="s">
        <v>691</v>
      </c>
      <c r="O120" s="1006"/>
      <c r="P120" s="1006"/>
      <c r="Q120" s="510"/>
      <c r="R120" s="510"/>
      <c r="S120" s="510"/>
      <c r="T120" s="510"/>
      <c r="U120" s="510"/>
      <c r="V120" s="511"/>
    </row>
    <row r="121" spans="2:22" s="508" customFormat="1" ht="17.45" customHeight="1">
      <c r="B121" s="512"/>
      <c r="C121" s="999"/>
      <c r="D121" s="999"/>
      <c r="E121" s="1030"/>
      <c r="F121" s="1030"/>
      <c r="G121" s="1030"/>
      <c r="H121" s="1030"/>
      <c r="I121" s="1030"/>
      <c r="J121" s="1030"/>
      <c r="K121" s="1007" t="s">
        <v>622</v>
      </c>
      <c r="L121" s="1007"/>
      <c r="M121" s="513"/>
      <c r="N121" s="1008">
        <v>1</v>
      </c>
      <c r="O121" s="1008"/>
      <c r="P121" s="1008"/>
      <c r="Q121" s="513"/>
      <c r="R121" s="1007" t="s">
        <v>623</v>
      </c>
      <c r="S121" s="1007"/>
      <c r="T121" s="513"/>
      <c r="U121" s="514" t="s">
        <v>657</v>
      </c>
      <c r="V121" s="515"/>
    </row>
    <row r="122" spans="2:22" s="508" customFormat="1" ht="17.45" customHeight="1">
      <c r="B122" s="997" t="s">
        <v>625</v>
      </c>
      <c r="C122" s="997"/>
      <c r="D122" s="998" t="s">
        <v>259</v>
      </c>
      <c r="E122" s="998"/>
      <c r="F122" s="998"/>
      <c r="G122" s="998"/>
      <c r="H122" s="998"/>
      <c r="I122" s="998"/>
      <c r="J122" s="997" t="s">
        <v>266</v>
      </c>
      <c r="K122" s="997"/>
      <c r="L122" s="997" t="s">
        <v>270</v>
      </c>
      <c r="M122" s="997"/>
      <c r="N122" s="997"/>
      <c r="O122" s="998" t="s">
        <v>626</v>
      </c>
      <c r="P122" s="998"/>
      <c r="Q122" s="998"/>
      <c r="R122" s="998"/>
      <c r="S122" s="998" t="s">
        <v>627</v>
      </c>
      <c r="T122" s="998"/>
      <c r="U122" s="998"/>
      <c r="V122" s="998"/>
    </row>
    <row r="123" spans="2:22" s="508" customFormat="1" ht="17.45" customHeight="1">
      <c r="B123" s="516"/>
      <c r="C123" s="517">
        <v>88249</v>
      </c>
      <c r="D123" s="1060" t="s">
        <v>692</v>
      </c>
      <c r="E123" s="1060"/>
      <c r="F123" s="1060"/>
      <c r="G123" s="1060"/>
      <c r="H123" s="1060"/>
      <c r="I123" s="1060"/>
      <c r="J123" s="1061" t="s">
        <v>633</v>
      </c>
      <c r="K123" s="1061"/>
      <c r="L123" s="1062">
        <v>3.6</v>
      </c>
      <c r="M123" s="1062"/>
      <c r="N123" s="1062"/>
      <c r="O123" s="1063">
        <v>23.6</v>
      </c>
      <c r="P123" s="1063"/>
      <c r="Q123" s="1063"/>
      <c r="R123" s="1063"/>
      <c r="S123" s="1073">
        <f>L123*O123</f>
        <v>84.960000000000008</v>
      </c>
      <c r="T123" s="1073"/>
      <c r="U123" s="1073"/>
      <c r="V123" s="1073"/>
    </row>
    <row r="124" spans="2:22" s="508" customFormat="1" ht="17.45" customHeight="1">
      <c r="B124" s="520"/>
      <c r="C124" s="521">
        <v>88321</v>
      </c>
      <c r="D124" s="1069" t="s">
        <v>693</v>
      </c>
      <c r="E124" s="1069"/>
      <c r="F124" s="1069"/>
      <c r="G124" s="1069"/>
      <c r="H124" s="1069"/>
      <c r="I124" s="1069"/>
      <c r="J124" s="1070" t="s">
        <v>633</v>
      </c>
      <c r="K124" s="1070"/>
      <c r="L124" s="1071">
        <v>1.8</v>
      </c>
      <c r="M124" s="1071"/>
      <c r="N124" s="1071"/>
      <c r="O124" s="1072">
        <v>24.68</v>
      </c>
      <c r="P124" s="1072"/>
      <c r="Q124" s="1072"/>
      <c r="R124" s="1072"/>
      <c r="S124" s="1073">
        <f>L124*O124</f>
        <v>44.423999999999999</v>
      </c>
      <c r="T124" s="1073"/>
      <c r="U124" s="1073"/>
      <c r="V124" s="1073"/>
    </row>
    <row r="125" spans="2:22" s="508" customFormat="1" ht="17.45" customHeight="1">
      <c r="B125" s="965"/>
      <c r="C125" s="965"/>
      <c r="D125" s="965"/>
      <c r="E125" s="965"/>
      <c r="F125" s="965"/>
      <c r="G125" s="965"/>
      <c r="H125" s="965"/>
      <c r="I125" s="966" t="s">
        <v>645</v>
      </c>
      <c r="J125" s="966"/>
      <c r="K125" s="966"/>
      <c r="L125" s="966"/>
      <c r="M125" s="966"/>
      <c r="N125" s="966"/>
      <c r="O125" s="966"/>
      <c r="P125" s="966"/>
      <c r="Q125" s="966"/>
      <c r="R125" s="966"/>
      <c r="S125" s="1029">
        <f>SUM(S123:V124)</f>
        <v>129.38400000000001</v>
      </c>
      <c r="T125" s="1029"/>
      <c r="U125" s="1029"/>
      <c r="V125" s="1029"/>
    </row>
    <row r="126" spans="2:22" s="508" customFormat="1" ht="17.45" customHeight="1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  <c r="O126" s="967"/>
      <c r="P126" s="967"/>
      <c r="Q126" s="967"/>
      <c r="R126" s="967"/>
      <c r="S126" s="967"/>
      <c r="T126" s="967"/>
      <c r="U126" s="967"/>
      <c r="V126" s="967"/>
    </row>
    <row r="127" spans="2:22" s="508" customFormat="1" ht="17.45" customHeight="1">
      <c r="B127" s="968"/>
      <c r="C127" s="968"/>
      <c r="D127" s="968"/>
      <c r="E127" s="968"/>
      <c r="F127" s="968"/>
      <c r="G127" s="968"/>
      <c r="H127" s="968"/>
      <c r="I127" s="969" t="s">
        <v>646</v>
      </c>
      <c r="J127" s="969"/>
      <c r="K127" s="969"/>
      <c r="L127" s="969"/>
      <c r="M127" s="969"/>
      <c r="N127" s="969"/>
      <c r="O127" s="969"/>
      <c r="P127" s="969"/>
      <c r="Q127" s="969"/>
      <c r="R127" s="969"/>
      <c r="S127" s="963">
        <f>S125</f>
        <v>129.38400000000001</v>
      </c>
      <c r="T127" s="963"/>
      <c r="U127" s="963"/>
      <c r="V127" s="964"/>
    </row>
    <row r="128" spans="2:22" s="508" customFormat="1" ht="17.45" customHeight="1">
      <c r="B128" s="968"/>
      <c r="C128" s="968"/>
      <c r="D128" s="968"/>
      <c r="E128" s="968"/>
      <c r="F128" s="968"/>
      <c r="G128" s="968"/>
      <c r="H128" s="969" t="s">
        <v>647</v>
      </c>
      <c r="I128" s="969"/>
      <c r="J128" s="969"/>
      <c r="K128" s="969"/>
      <c r="L128" s="969"/>
      <c r="M128" s="970">
        <v>20.7</v>
      </c>
      <c r="N128" s="970"/>
      <c r="O128" s="970"/>
      <c r="P128" s="969" t="s">
        <v>648</v>
      </c>
      <c r="Q128" s="969"/>
      <c r="R128" s="969"/>
      <c r="S128" s="963">
        <f>S127*M128%</f>
        <v>26.782488000000001</v>
      </c>
      <c r="T128" s="963"/>
      <c r="U128" s="963"/>
      <c r="V128" s="964"/>
    </row>
    <row r="129" spans="2:22" s="508" customFormat="1" ht="17.45" customHeight="1">
      <c r="B129" s="968"/>
      <c r="C129" s="968"/>
      <c r="D129" s="968"/>
      <c r="E129" s="968"/>
      <c r="F129" s="968"/>
      <c r="G129" s="968"/>
      <c r="H129" s="968"/>
      <c r="I129" s="969" t="s">
        <v>649</v>
      </c>
      <c r="J129" s="969"/>
      <c r="K129" s="969"/>
      <c r="L129" s="969"/>
      <c r="M129" s="969"/>
      <c r="N129" s="969"/>
      <c r="O129" s="969"/>
      <c r="P129" s="969"/>
      <c r="Q129" s="969"/>
      <c r="R129" s="969"/>
      <c r="S129" s="963">
        <f>S127+S128</f>
        <v>156.16648800000002</v>
      </c>
      <c r="T129" s="963"/>
      <c r="U129" s="963"/>
      <c r="V129" s="964"/>
    </row>
    <row r="130" spans="2:22" s="508" customFormat="1" ht="144.94999999999999" customHeight="1">
      <c r="B130" s="522"/>
      <c r="C130" s="523"/>
      <c r="D130" s="524"/>
      <c r="E130" s="524"/>
      <c r="F130" s="524"/>
      <c r="G130" s="524"/>
      <c r="H130" s="524"/>
      <c r="I130" s="524"/>
      <c r="J130" s="524"/>
      <c r="K130" s="523"/>
      <c r="L130" s="523"/>
      <c r="M130" s="523"/>
      <c r="N130" s="523"/>
      <c r="O130" s="523"/>
      <c r="P130" s="523"/>
      <c r="Q130" s="523"/>
      <c r="R130" s="523"/>
      <c r="S130" s="523"/>
      <c r="T130" s="523"/>
      <c r="U130" s="523"/>
      <c r="V130" s="525"/>
    </row>
    <row r="131" spans="2:22" s="508" customFormat="1" ht="144.94999999999999" customHeight="1">
      <c r="B131" s="522"/>
      <c r="C131" s="523"/>
      <c r="D131" s="524"/>
      <c r="E131" s="524"/>
      <c r="F131" s="524"/>
      <c r="G131" s="524"/>
      <c r="H131" s="524"/>
      <c r="I131" s="524"/>
      <c r="J131" s="524"/>
      <c r="K131" s="523"/>
      <c r="L131" s="523"/>
      <c r="M131" s="523"/>
      <c r="N131" s="523"/>
      <c r="O131" s="523"/>
      <c r="P131" s="523"/>
      <c r="Q131" s="523"/>
      <c r="R131" s="523"/>
      <c r="S131" s="523"/>
      <c r="T131" s="523"/>
      <c r="U131" s="523"/>
      <c r="V131" s="525"/>
    </row>
    <row r="132" spans="2:22" s="508" customFormat="1" ht="144.94999999999999" customHeight="1">
      <c r="B132" s="522"/>
      <c r="C132" s="523"/>
      <c r="D132" s="524"/>
      <c r="E132" s="524"/>
      <c r="F132" s="524"/>
      <c r="G132" s="524"/>
      <c r="H132" s="524"/>
      <c r="I132" s="524"/>
      <c r="J132" s="524"/>
      <c r="K132" s="523"/>
      <c r="L132" s="523"/>
      <c r="M132" s="523"/>
      <c r="N132" s="523"/>
      <c r="O132" s="523"/>
      <c r="P132" s="523"/>
      <c r="Q132" s="523"/>
      <c r="R132" s="523"/>
      <c r="S132" s="523"/>
      <c r="T132" s="523"/>
      <c r="U132" s="523"/>
      <c r="V132" s="525"/>
    </row>
    <row r="133" spans="2:22" s="508" customFormat="1" ht="17.45" customHeight="1">
      <c r="B133" s="522"/>
      <c r="C133" s="523"/>
      <c r="D133" s="524"/>
      <c r="E133" s="524"/>
      <c r="F133" s="524"/>
      <c r="G133" s="524"/>
      <c r="H133" s="524"/>
      <c r="I133" s="524"/>
      <c r="J133" s="524"/>
      <c r="K133" s="523"/>
      <c r="L133" s="523"/>
      <c r="M133" s="523"/>
      <c r="N133" s="523"/>
      <c r="O133" s="523"/>
      <c r="P133" s="523"/>
      <c r="Q133" s="523"/>
      <c r="R133" s="523"/>
      <c r="S133" s="523"/>
      <c r="T133" s="523"/>
      <c r="U133" s="523"/>
      <c r="V133" s="525"/>
    </row>
    <row r="134" spans="2:22" s="508" customFormat="1" ht="17.45" customHeight="1">
      <c r="B134" s="512"/>
      <c r="C134" s="513"/>
      <c r="D134" s="526"/>
      <c r="E134" s="526"/>
      <c r="F134" s="526"/>
      <c r="G134" s="526"/>
      <c r="H134" s="526"/>
      <c r="I134" s="526"/>
      <c r="J134" s="526"/>
      <c r="K134" s="513"/>
      <c r="L134" s="513"/>
      <c r="M134" s="513"/>
      <c r="N134" s="513"/>
      <c r="O134" s="513"/>
      <c r="P134" s="513"/>
      <c r="Q134" s="513"/>
      <c r="R134" s="513"/>
      <c r="S134" s="513"/>
      <c r="T134" s="513"/>
      <c r="U134" s="513"/>
      <c r="V134" s="515"/>
    </row>
    <row r="135" spans="2:22" s="508" customFormat="1" ht="17.45" customHeight="1">
      <c r="B135" s="530"/>
      <c r="C135" s="999" t="s">
        <v>617</v>
      </c>
      <c r="D135" s="999"/>
      <c r="E135" s="999"/>
      <c r="F135" s="505"/>
      <c r="G135" s="1000" t="s">
        <v>821</v>
      </c>
      <c r="H135" s="1000"/>
      <c r="I135" s="1000"/>
      <c r="J135" s="1000"/>
      <c r="K135" s="1000"/>
      <c r="L135" s="1000"/>
      <c r="M135" s="506"/>
      <c r="N135" s="1000" t="s">
        <v>618</v>
      </c>
      <c r="O135" s="1000"/>
      <c r="P135" s="1000"/>
      <c r="Q135" s="1000"/>
      <c r="R135" s="1000"/>
      <c r="S135" s="1000"/>
      <c r="T135" s="1000"/>
      <c r="U135" s="1000"/>
      <c r="V135" s="507"/>
    </row>
    <row r="136" spans="2:22" s="508" customFormat="1" ht="17.45" customHeight="1">
      <c r="B136" s="509"/>
      <c r="C136" s="999" t="s">
        <v>619</v>
      </c>
      <c r="D136" s="999"/>
      <c r="E136" s="1030" t="s">
        <v>694</v>
      </c>
      <c r="F136" s="1030"/>
      <c r="G136" s="1030"/>
      <c r="H136" s="1030"/>
      <c r="I136" s="1030"/>
      <c r="J136" s="1030"/>
      <c r="K136" s="1005" t="s">
        <v>620</v>
      </c>
      <c r="L136" s="1005"/>
      <c r="M136" s="510"/>
      <c r="N136" s="1006" t="s">
        <v>695</v>
      </c>
      <c r="O136" s="1006"/>
      <c r="P136" s="1006"/>
      <c r="Q136" s="510"/>
      <c r="R136" s="510"/>
      <c r="S136" s="510"/>
      <c r="T136" s="510"/>
      <c r="U136" s="510"/>
      <c r="V136" s="511"/>
    </row>
    <row r="137" spans="2:22" s="508" customFormat="1" ht="17.45" customHeight="1">
      <c r="B137" s="512"/>
      <c r="C137" s="999"/>
      <c r="D137" s="999"/>
      <c r="E137" s="1030"/>
      <c r="F137" s="1030"/>
      <c r="G137" s="1030"/>
      <c r="H137" s="1030"/>
      <c r="I137" s="1030"/>
      <c r="J137" s="1030"/>
      <c r="K137" s="1007" t="s">
        <v>622</v>
      </c>
      <c r="L137" s="1007"/>
      <c r="M137" s="513"/>
      <c r="N137" s="1008">
        <v>1</v>
      </c>
      <c r="O137" s="1008"/>
      <c r="P137" s="1008"/>
      <c r="Q137" s="513"/>
      <c r="R137" s="1007" t="s">
        <v>623</v>
      </c>
      <c r="S137" s="1007"/>
      <c r="T137" s="513"/>
      <c r="U137" s="514" t="s">
        <v>624</v>
      </c>
      <c r="V137" s="515"/>
    </row>
    <row r="138" spans="2:22" s="508" customFormat="1" ht="17.45" customHeight="1">
      <c r="B138" s="997" t="s">
        <v>625</v>
      </c>
      <c r="C138" s="997"/>
      <c r="D138" s="998" t="s">
        <v>259</v>
      </c>
      <c r="E138" s="998"/>
      <c r="F138" s="998"/>
      <c r="G138" s="998"/>
      <c r="H138" s="998"/>
      <c r="I138" s="998"/>
      <c r="J138" s="997" t="s">
        <v>266</v>
      </c>
      <c r="K138" s="997"/>
      <c r="L138" s="997" t="s">
        <v>270</v>
      </c>
      <c r="M138" s="997"/>
      <c r="N138" s="997"/>
      <c r="O138" s="998" t="s">
        <v>626</v>
      </c>
      <c r="P138" s="998"/>
      <c r="Q138" s="998"/>
      <c r="R138" s="998"/>
      <c r="S138" s="998" t="s">
        <v>627</v>
      </c>
      <c r="T138" s="998"/>
      <c r="U138" s="998"/>
      <c r="V138" s="998"/>
    </row>
    <row r="139" spans="2:22" s="508" customFormat="1" ht="17.45" customHeight="1">
      <c r="B139" s="516"/>
      <c r="C139" s="517" t="s">
        <v>696</v>
      </c>
      <c r="D139" s="1060" t="s">
        <v>697</v>
      </c>
      <c r="E139" s="1060"/>
      <c r="F139" s="1060"/>
      <c r="G139" s="1060"/>
      <c r="H139" s="1060"/>
      <c r="I139" s="1060"/>
      <c r="J139" s="1061" t="s">
        <v>698</v>
      </c>
      <c r="K139" s="1061"/>
      <c r="L139" s="1062">
        <v>3.0000000000000001E-3</v>
      </c>
      <c r="M139" s="1062"/>
      <c r="N139" s="1062"/>
      <c r="O139" s="1063">
        <v>197.94</v>
      </c>
      <c r="P139" s="1063"/>
      <c r="Q139" s="1063"/>
      <c r="R139" s="1063"/>
      <c r="S139" s="1064">
        <f>L139*O139</f>
        <v>0.59382000000000001</v>
      </c>
      <c r="T139" s="1064"/>
      <c r="U139" s="1064"/>
      <c r="V139" s="1064"/>
    </row>
    <row r="140" spans="2:22" s="508" customFormat="1" ht="17.45" customHeight="1">
      <c r="B140" s="520"/>
      <c r="C140" s="521" t="s">
        <v>634</v>
      </c>
      <c r="D140" s="1069" t="s">
        <v>635</v>
      </c>
      <c r="E140" s="1069"/>
      <c r="F140" s="1069"/>
      <c r="G140" s="1069"/>
      <c r="H140" s="1069"/>
      <c r="I140" s="1069"/>
      <c r="J140" s="1070" t="s">
        <v>633</v>
      </c>
      <c r="K140" s="1070"/>
      <c r="L140" s="1071">
        <v>3.0000000000000001E-3</v>
      </c>
      <c r="M140" s="1071"/>
      <c r="N140" s="1071"/>
      <c r="O140" s="1072">
        <v>16.829999999999998</v>
      </c>
      <c r="P140" s="1072"/>
      <c r="Q140" s="1072"/>
      <c r="R140" s="1072"/>
      <c r="S140" s="1024">
        <f>L140*O140</f>
        <v>5.0489999999999993E-2</v>
      </c>
      <c r="T140" s="1025"/>
      <c r="U140" s="1025"/>
      <c r="V140" s="1026"/>
    </row>
    <row r="141" spans="2:22" s="508" customFormat="1" ht="17.45" customHeight="1">
      <c r="B141" s="965"/>
      <c r="C141" s="965"/>
      <c r="D141" s="965"/>
      <c r="E141" s="965"/>
      <c r="F141" s="965"/>
      <c r="G141" s="965"/>
      <c r="H141" s="965"/>
      <c r="I141" s="966" t="s">
        <v>645</v>
      </c>
      <c r="J141" s="966"/>
      <c r="K141" s="966"/>
      <c r="L141" s="966"/>
      <c r="M141" s="966"/>
      <c r="N141" s="966"/>
      <c r="O141" s="966"/>
      <c r="P141" s="966"/>
      <c r="Q141" s="966"/>
      <c r="R141" s="966"/>
      <c r="S141" s="1029">
        <f>SUM(S139:V140)</f>
        <v>0.64431000000000005</v>
      </c>
      <c r="T141" s="1029"/>
      <c r="U141" s="1029"/>
      <c r="V141" s="1029"/>
    </row>
    <row r="142" spans="2:22" s="508" customFormat="1" ht="17.45" customHeight="1">
      <c r="B142" s="967"/>
      <c r="C142" s="967"/>
      <c r="D142" s="967"/>
      <c r="E142" s="967"/>
      <c r="F142" s="967"/>
      <c r="G142" s="967"/>
      <c r="H142" s="967"/>
      <c r="I142" s="967"/>
      <c r="J142" s="967"/>
      <c r="K142" s="967"/>
      <c r="L142" s="967"/>
      <c r="M142" s="967"/>
      <c r="N142" s="967"/>
      <c r="O142" s="967"/>
      <c r="P142" s="967"/>
      <c r="Q142" s="967"/>
      <c r="R142" s="967"/>
      <c r="S142" s="967"/>
      <c r="T142" s="967"/>
      <c r="U142" s="967"/>
      <c r="V142" s="967"/>
    </row>
    <row r="143" spans="2:22" s="508" customFormat="1" ht="17.45" customHeight="1">
      <c r="B143" s="968"/>
      <c r="C143" s="968"/>
      <c r="D143" s="968"/>
      <c r="E143" s="968"/>
      <c r="F143" s="968"/>
      <c r="G143" s="968"/>
      <c r="H143" s="968"/>
      <c r="I143" s="969" t="s">
        <v>646</v>
      </c>
      <c r="J143" s="969"/>
      <c r="K143" s="969"/>
      <c r="L143" s="969"/>
      <c r="M143" s="969"/>
      <c r="N143" s="969"/>
      <c r="O143" s="969"/>
      <c r="P143" s="969"/>
      <c r="Q143" s="969"/>
      <c r="R143" s="969"/>
      <c r="S143" s="963">
        <f>S141</f>
        <v>0.64431000000000005</v>
      </c>
      <c r="T143" s="963"/>
      <c r="U143" s="963"/>
      <c r="V143" s="964"/>
    </row>
    <row r="144" spans="2:22" s="508" customFormat="1" ht="17.45" customHeight="1">
      <c r="B144" s="968"/>
      <c r="C144" s="968"/>
      <c r="D144" s="968"/>
      <c r="E144" s="968"/>
      <c r="F144" s="968"/>
      <c r="G144" s="968"/>
      <c r="H144" s="969" t="s">
        <v>647</v>
      </c>
      <c r="I144" s="969"/>
      <c r="J144" s="969"/>
      <c r="K144" s="969"/>
      <c r="L144" s="969"/>
      <c r="M144" s="970">
        <v>20.7</v>
      </c>
      <c r="N144" s="970"/>
      <c r="O144" s="970"/>
      <c r="P144" s="969" t="s">
        <v>648</v>
      </c>
      <c r="Q144" s="969"/>
      <c r="R144" s="969"/>
      <c r="S144" s="963">
        <f>S143*M144%</f>
        <v>0.13337217000000001</v>
      </c>
      <c r="T144" s="963"/>
      <c r="U144" s="963"/>
      <c r="V144" s="964"/>
    </row>
    <row r="145" spans="2:22" s="508" customFormat="1" ht="17.45" customHeight="1">
      <c r="B145" s="968"/>
      <c r="C145" s="968"/>
      <c r="D145" s="968"/>
      <c r="E145" s="968"/>
      <c r="F145" s="968"/>
      <c r="G145" s="968"/>
      <c r="H145" s="968"/>
      <c r="I145" s="969" t="s">
        <v>649</v>
      </c>
      <c r="J145" s="969"/>
      <c r="K145" s="969"/>
      <c r="L145" s="969"/>
      <c r="M145" s="969"/>
      <c r="N145" s="969"/>
      <c r="O145" s="969"/>
      <c r="P145" s="969"/>
      <c r="Q145" s="969"/>
      <c r="R145" s="969"/>
      <c r="S145" s="963">
        <f>S143+S144</f>
        <v>0.77768217000000006</v>
      </c>
      <c r="T145" s="963"/>
      <c r="U145" s="963"/>
      <c r="V145" s="964"/>
    </row>
    <row r="146" spans="2:22" s="508" customFormat="1" ht="144.94999999999999" customHeight="1">
      <c r="B146" s="522"/>
      <c r="C146" s="523"/>
      <c r="D146" s="524"/>
      <c r="E146" s="524"/>
      <c r="F146" s="524"/>
      <c r="G146" s="524"/>
      <c r="H146" s="524"/>
      <c r="I146" s="524"/>
      <c r="J146" s="524"/>
      <c r="K146" s="523"/>
      <c r="L146" s="523"/>
      <c r="M146" s="523"/>
      <c r="N146" s="523"/>
      <c r="O146" s="523"/>
      <c r="P146" s="523"/>
      <c r="Q146" s="523"/>
      <c r="R146" s="523"/>
      <c r="S146" s="523"/>
      <c r="T146" s="523"/>
      <c r="U146" s="523"/>
      <c r="V146" s="525"/>
    </row>
    <row r="147" spans="2:22" s="508" customFormat="1" ht="144.94999999999999" customHeight="1">
      <c r="B147" s="522"/>
      <c r="C147" s="523"/>
      <c r="D147" s="524"/>
      <c r="E147" s="524"/>
      <c r="F147" s="524"/>
      <c r="G147" s="524"/>
      <c r="H147" s="524"/>
      <c r="I147" s="524"/>
      <c r="J147" s="524"/>
      <c r="K147" s="523"/>
      <c r="L147" s="523"/>
      <c r="M147" s="523"/>
      <c r="N147" s="523"/>
      <c r="O147" s="523"/>
      <c r="P147" s="523"/>
      <c r="Q147" s="523"/>
      <c r="R147" s="523"/>
      <c r="S147" s="523"/>
      <c r="T147" s="523"/>
      <c r="U147" s="523"/>
      <c r="V147" s="525"/>
    </row>
    <row r="148" spans="2:22" s="508" customFormat="1" ht="144.94999999999999" customHeight="1">
      <c r="B148" s="522"/>
      <c r="C148" s="523"/>
      <c r="D148" s="524"/>
      <c r="E148" s="524"/>
      <c r="F148" s="524"/>
      <c r="G148" s="524"/>
      <c r="H148" s="524"/>
      <c r="I148" s="524"/>
      <c r="J148" s="524"/>
      <c r="K148" s="523"/>
      <c r="L148" s="523"/>
      <c r="M148" s="523"/>
      <c r="N148" s="523"/>
      <c r="O148" s="523"/>
      <c r="P148" s="523"/>
      <c r="Q148" s="523"/>
      <c r="R148" s="523"/>
      <c r="S148" s="523"/>
      <c r="T148" s="523"/>
      <c r="U148" s="523"/>
      <c r="V148" s="525"/>
    </row>
    <row r="149" spans="2:22" s="508" customFormat="1" ht="17.45" customHeight="1">
      <c r="B149" s="522"/>
      <c r="C149" s="523"/>
      <c r="D149" s="524"/>
      <c r="E149" s="524"/>
      <c r="F149" s="524"/>
      <c r="G149" s="524"/>
      <c r="H149" s="524"/>
      <c r="I149" s="524"/>
      <c r="J149" s="524"/>
      <c r="K149" s="523"/>
      <c r="L149" s="523"/>
      <c r="M149" s="523"/>
      <c r="N149" s="523"/>
      <c r="O149" s="523"/>
      <c r="P149" s="523"/>
      <c r="Q149" s="523"/>
      <c r="R149" s="523"/>
      <c r="S149" s="523"/>
      <c r="T149" s="523"/>
      <c r="U149" s="523"/>
      <c r="V149" s="525"/>
    </row>
    <row r="150" spans="2:22" s="508" customFormat="1" ht="17.45" customHeight="1">
      <c r="B150" s="512"/>
      <c r="C150" s="513"/>
      <c r="D150" s="526"/>
      <c r="E150" s="526"/>
      <c r="F150" s="526"/>
      <c r="G150" s="526"/>
      <c r="H150" s="526"/>
      <c r="I150" s="526"/>
      <c r="J150" s="526"/>
      <c r="K150" s="513"/>
      <c r="L150" s="513"/>
      <c r="M150" s="513"/>
      <c r="N150" s="513"/>
      <c r="O150" s="513"/>
      <c r="P150" s="513"/>
      <c r="Q150" s="513"/>
      <c r="R150" s="513"/>
      <c r="S150" s="513"/>
      <c r="T150" s="513"/>
      <c r="U150" s="513"/>
      <c r="V150" s="515"/>
    </row>
    <row r="151" spans="2:22" s="508" customFormat="1" ht="17.45" customHeight="1">
      <c r="B151" s="530"/>
      <c r="C151" s="999" t="s">
        <v>617</v>
      </c>
      <c r="D151" s="999"/>
      <c r="E151" s="999"/>
      <c r="F151" s="505"/>
      <c r="G151" s="1000" t="s">
        <v>821</v>
      </c>
      <c r="H151" s="1000"/>
      <c r="I151" s="1000"/>
      <c r="J151" s="1000"/>
      <c r="K151" s="1000"/>
      <c r="L151" s="1000"/>
      <c r="M151" s="506"/>
      <c r="N151" s="1000" t="s">
        <v>618</v>
      </c>
      <c r="O151" s="1000"/>
      <c r="P151" s="1000"/>
      <c r="Q151" s="1000"/>
      <c r="R151" s="1000"/>
      <c r="S151" s="1000"/>
      <c r="T151" s="1000"/>
      <c r="U151" s="1000"/>
      <c r="V151" s="507"/>
    </row>
    <row r="152" spans="2:22" s="508" customFormat="1" ht="17.45" customHeight="1">
      <c r="B152" s="509"/>
      <c r="C152" s="999" t="s">
        <v>619</v>
      </c>
      <c r="D152" s="999"/>
      <c r="E152" s="1030" t="s">
        <v>699</v>
      </c>
      <c r="F152" s="1030"/>
      <c r="G152" s="1030"/>
      <c r="H152" s="1030"/>
      <c r="I152" s="1030"/>
      <c r="J152" s="1030"/>
      <c r="K152" s="1005" t="s">
        <v>620</v>
      </c>
      <c r="L152" s="1005"/>
      <c r="M152" s="510"/>
      <c r="N152" s="1006" t="s">
        <v>700</v>
      </c>
      <c r="O152" s="1006"/>
      <c r="P152" s="1006"/>
      <c r="Q152" s="510"/>
      <c r="R152" s="510"/>
      <c r="S152" s="510"/>
      <c r="T152" s="510"/>
      <c r="U152" s="510"/>
      <c r="V152" s="511"/>
    </row>
    <row r="153" spans="2:22" s="508" customFormat="1" ht="17.45" customHeight="1">
      <c r="B153" s="512"/>
      <c r="C153" s="999"/>
      <c r="D153" s="999"/>
      <c r="E153" s="1030"/>
      <c r="F153" s="1030"/>
      <c r="G153" s="1030"/>
      <c r="H153" s="1030"/>
      <c r="I153" s="1030"/>
      <c r="J153" s="1030"/>
      <c r="K153" s="1007" t="s">
        <v>622</v>
      </c>
      <c r="L153" s="1007"/>
      <c r="M153" s="513"/>
      <c r="N153" s="1008">
        <v>1</v>
      </c>
      <c r="O153" s="1008"/>
      <c r="P153" s="1008"/>
      <c r="Q153" s="513"/>
      <c r="R153" s="1007" t="s">
        <v>623</v>
      </c>
      <c r="S153" s="1007"/>
      <c r="T153" s="513"/>
      <c r="U153" s="514" t="s">
        <v>630</v>
      </c>
      <c r="V153" s="515"/>
    </row>
    <row r="154" spans="2:22" s="508" customFormat="1" ht="17.45" customHeight="1">
      <c r="B154" s="997" t="s">
        <v>625</v>
      </c>
      <c r="C154" s="997"/>
      <c r="D154" s="998" t="s">
        <v>259</v>
      </c>
      <c r="E154" s="998"/>
      <c r="F154" s="998"/>
      <c r="G154" s="998"/>
      <c r="H154" s="998"/>
      <c r="I154" s="998"/>
      <c r="J154" s="997" t="s">
        <v>266</v>
      </c>
      <c r="K154" s="997"/>
      <c r="L154" s="997" t="s">
        <v>270</v>
      </c>
      <c r="M154" s="997"/>
      <c r="N154" s="997"/>
      <c r="O154" s="998" t="s">
        <v>626</v>
      </c>
      <c r="P154" s="998"/>
      <c r="Q154" s="998"/>
      <c r="R154" s="998"/>
      <c r="S154" s="998" t="s">
        <v>627</v>
      </c>
      <c r="T154" s="998"/>
      <c r="U154" s="998"/>
      <c r="V154" s="998"/>
    </row>
    <row r="155" spans="2:22" s="508" customFormat="1" ht="17.45" customHeight="1">
      <c r="B155" s="516"/>
      <c r="C155" s="517">
        <v>5847</v>
      </c>
      <c r="D155" s="1060" t="s">
        <v>702</v>
      </c>
      <c r="E155" s="1060"/>
      <c r="F155" s="1060"/>
      <c r="G155" s="1060"/>
      <c r="H155" s="1060"/>
      <c r="I155" s="1060"/>
      <c r="J155" s="1061" t="s">
        <v>698</v>
      </c>
      <c r="K155" s="1061"/>
      <c r="L155" s="1062">
        <v>7.9399999999999991E-3</v>
      </c>
      <c r="M155" s="1062"/>
      <c r="N155" s="1062"/>
      <c r="O155" s="1063">
        <v>220.74</v>
      </c>
      <c r="P155" s="1063"/>
      <c r="Q155" s="1063"/>
      <c r="R155" s="1063"/>
      <c r="S155" s="1064">
        <f>L155*O155</f>
        <v>1.7526755999999999</v>
      </c>
      <c r="T155" s="1064"/>
      <c r="U155" s="1064"/>
      <c r="V155" s="1064"/>
    </row>
    <row r="156" spans="2:22" s="508" customFormat="1" ht="17.45" customHeight="1">
      <c r="B156" s="520"/>
      <c r="C156" s="521" t="s">
        <v>634</v>
      </c>
      <c r="D156" s="1069" t="s">
        <v>635</v>
      </c>
      <c r="E156" s="1069"/>
      <c r="F156" s="1069"/>
      <c r="G156" s="1069"/>
      <c r="H156" s="1069"/>
      <c r="I156" s="1069"/>
      <c r="J156" s="1070" t="s">
        <v>633</v>
      </c>
      <c r="K156" s="1070"/>
      <c r="L156" s="1071">
        <v>6.8999999999999999E-3</v>
      </c>
      <c r="M156" s="1071"/>
      <c r="N156" s="1071"/>
      <c r="O156" s="1072">
        <v>16.829999999999998</v>
      </c>
      <c r="P156" s="1072"/>
      <c r="Q156" s="1072"/>
      <c r="R156" s="1072"/>
      <c r="S156" s="1024">
        <f>L156*O156</f>
        <v>0.11612699999999998</v>
      </c>
      <c r="T156" s="1025"/>
      <c r="U156" s="1025"/>
      <c r="V156" s="1026"/>
    </row>
    <row r="157" spans="2:22" s="508" customFormat="1" ht="17.45" customHeight="1">
      <c r="B157" s="965"/>
      <c r="C157" s="965"/>
      <c r="D157" s="965"/>
      <c r="E157" s="965"/>
      <c r="F157" s="965"/>
      <c r="G157" s="965"/>
      <c r="H157" s="965"/>
      <c r="I157" s="966" t="s">
        <v>645</v>
      </c>
      <c r="J157" s="966"/>
      <c r="K157" s="966"/>
      <c r="L157" s="966"/>
      <c r="M157" s="966"/>
      <c r="N157" s="966"/>
      <c r="O157" s="966"/>
      <c r="P157" s="966"/>
      <c r="Q157" s="966"/>
      <c r="R157" s="966"/>
      <c r="S157" s="1029">
        <f>SUM(S155:V156)</f>
        <v>1.8688026</v>
      </c>
      <c r="T157" s="1029"/>
      <c r="U157" s="1029"/>
      <c r="V157" s="1029"/>
    </row>
    <row r="158" spans="2:22" s="508" customFormat="1" ht="17.45" customHeight="1">
      <c r="B158" s="967"/>
      <c r="C158" s="967"/>
      <c r="D158" s="967"/>
      <c r="E158" s="967"/>
      <c r="F158" s="967"/>
      <c r="G158" s="967"/>
      <c r="H158" s="967"/>
      <c r="I158" s="967"/>
      <c r="J158" s="967"/>
      <c r="K158" s="967"/>
      <c r="L158" s="967"/>
      <c r="M158" s="967"/>
      <c r="N158" s="967"/>
      <c r="O158" s="967"/>
      <c r="P158" s="967"/>
      <c r="Q158" s="967"/>
      <c r="R158" s="967"/>
      <c r="S158" s="967"/>
      <c r="T158" s="967"/>
      <c r="U158" s="967"/>
      <c r="V158" s="967"/>
    </row>
    <row r="159" spans="2:22" s="508" customFormat="1" ht="17.45" customHeight="1">
      <c r="B159" s="968"/>
      <c r="C159" s="968"/>
      <c r="D159" s="968"/>
      <c r="E159" s="968"/>
      <c r="F159" s="968"/>
      <c r="G159" s="968"/>
      <c r="H159" s="968"/>
      <c r="I159" s="969" t="s">
        <v>646</v>
      </c>
      <c r="J159" s="969"/>
      <c r="K159" s="969"/>
      <c r="L159" s="969"/>
      <c r="M159" s="969"/>
      <c r="N159" s="969"/>
      <c r="O159" s="969"/>
      <c r="P159" s="969"/>
      <c r="Q159" s="969"/>
      <c r="R159" s="969"/>
      <c r="S159" s="963">
        <f>S157</f>
        <v>1.8688026</v>
      </c>
      <c r="T159" s="963"/>
      <c r="U159" s="963"/>
      <c r="V159" s="964"/>
    </row>
    <row r="160" spans="2:22" s="508" customFormat="1" ht="17.45" customHeight="1">
      <c r="B160" s="968"/>
      <c r="C160" s="968"/>
      <c r="D160" s="968"/>
      <c r="E160" s="968"/>
      <c r="F160" s="968"/>
      <c r="G160" s="968"/>
      <c r="H160" s="969" t="s">
        <v>647</v>
      </c>
      <c r="I160" s="969"/>
      <c r="J160" s="969"/>
      <c r="K160" s="969"/>
      <c r="L160" s="969"/>
      <c r="M160" s="970">
        <v>20.7</v>
      </c>
      <c r="N160" s="970"/>
      <c r="O160" s="970"/>
      <c r="P160" s="969" t="s">
        <v>648</v>
      </c>
      <c r="Q160" s="969"/>
      <c r="R160" s="969"/>
      <c r="S160" s="963">
        <f>S159*M160%</f>
        <v>0.38684213819999996</v>
      </c>
      <c r="T160" s="963"/>
      <c r="U160" s="963"/>
      <c r="V160" s="964"/>
    </row>
    <row r="161" spans="2:22" s="508" customFormat="1" ht="17.45" customHeight="1">
      <c r="B161" s="968"/>
      <c r="C161" s="968"/>
      <c r="D161" s="968"/>
      <c r="E161" s="968"/>
      <c r="F161" s="968"/>
      <c r="G161" s="968"/>
      <c r="H161" s="968"/>
      <c r="I161" s="969" t="s">
        <v>649</v>
      </c>
      <c r="J161" s="969"/>
      <c r="K161" s="969"/>
      <c r="L161" s="969"/>
      <c r="M161" s="969"/>
      <c r="N161" s="969"/>
      <c r="O161" s="969"/>
      <c r="P161" s="969"/>
      <c r="Q161" s="969"/>
      <c r="R161" s="969"/>
      <c r="S161" s="963">
        <f>S159+S160</f>
        <v>2.2556447382</v>
      </c>
      <c r="T161" s="963"/>
      <c r="U161" s="963"/>
      <c r="V161" s="964"/>
    </row>
    <row r="162" spans="2:22" s="508" customFormat="1" ht="144.94999999999999" customHeight="1">
      <c r="B162" s="522"/>
      <c r="C162" s="523"/>
      <c r="D162" s="524"/>
      <c r="E162" s="524"/>
      <c r="F162" s="524"/>
      <c r="G162" s="524"/>
      <c r="H162" s="524"/>
      <c r="I162" s="524"/>
      <c r="J162" s="524"/>
      <c r="K162" s="523"/>
      <c r="L162" s="523"/>
      <c r="M162" s="523"/>
      <c r="N162" s="523"/>
      <c r="O162" s="523"/>
      <c r="P162" s="523"/>
      <c r="Q162" s="523"/>
      <c r="R162" s="523"/>
      <c r="S162" s="523"/>
      <c r="T162" s="523"/>
      <c r="U162" s="523"/>
      <c r="V162" s="525"/>
    </row>
    <row r="163" spans="2:22" s="508" customFormat="1" ht="144.94999999999999" customHeight="1">
      <c r="B163" s="522"/>
      <c r="C163" s="523"/>
      <c r="D163" s="524"/>
      <c r="E163" s="524"/>
      <c r="F163" s="524"/>
      <c r="G163" s="524"/>
      <c r="H163" s="524"/>
      <c r="I163" s="524"/>
      <c r="J163" s="524"/>
      <c r="K163" s="523"/>
      <c r="L163" s="523"/>
      <c r="M163" s="523"/>
      <c r="N163" s="523"/>
      <c r="O163" s="523"/>
      <c r="P163" s="523"/>
      <c r="Q163" s="523"/>
      <c r="R163" s="523"/>
      <c r="S163" s="523"/>
      <c r="T163" s="523"/>
      <c r="U163" s="523"/>
      <c r="V163" s="525"/>
    </row>
    <row r="164" spans="2:22" s="508" customFormat="1" ht="144.94999999999999" customHeight="1">
      <c r="B164" s="522"/>
      <c r="C164" s="523"/>
      <c r="D164" s="524"/>
      <c r="E164" s="524"/>
      <c r="F164" s="524"/>
      <c r="G164" s="524"/>
      <c r="H164" s="524"/>
      <c r="I164" s="524"/>
      <c r="J164" s="524"/>
      <c r="K164" s="523"/>
      <c r="L164" s="523"/>
      <c r="M164" s="523"/>
      <c r="N164" s="523"/>
      <c r="O164" s="523"/>
      <c r="P164" s="523"/>
      <c r="Q164" s="523"/>
      <c r="R164" s="523"/>
      <c r="S164" s="523"/>
      <c r="T164" s="523"/>
      <c r="U164" s="523"/>
      <c r="V164" s="525"/>
    </row>
    <row r="165" spans="2:22" s="508" customFormat="1" ht="17.45" customHeight="1">
      <c r="B165" s="522"/>
      <c r="C165" s="523"/>
      <c r="D165" s="524"/>
      <c r="E165" s="524"/>
      <c r="F165" s="524"/>
      <c r="G165" s="524"/>
      <c r="H165" s="524"/>
      <c r="I165" s="524"/>
      <c r="J165" s="524"/>
      <c r="K165" s="523"/>
      <c r="L165" s="523"/>
      <c r="M165" s="523"/>
      <c r="N165" s="523"/>
      <c r="O165" s="523"/>
      <c r="P165" s="523"/>
      <c r="Q165" s="523"/>
      <c r="R165" s="523"/>
      <c r="S165" s="523"/>
      <c r="T165" s="523"/>
      <c r="U165" s="523"/>
      <c r="V165" s="525"/>
    </row>
    <row r="166" spans="2:22" s="508" customFormat="1" ht="17.45" customHeight="1">
      <c r="B166" s="512"/>
      <c r="C166" s="513"/>
      <c r="D166" s="526"/>
      <c r="E166" s="526"/>
      <c r="F166" s="526"/>
      <c r="G166" s="526"/>
      <c r="H166" s="526"/>
      <c r="I166" s="526"/>
      <c r="J166" s="526"/>
      <c r="K166" s="513"/>
      <c r="L166" s="513"/>
      <c r="M166" s="513"/>
      <c r="N166" s="513"/>
      <c r="O166" s="513"/>
      <c r="P166" s="513"/>
      <c r="Q166" s="513"/>
      <c r="R166" s="513"/>
      <c r="S166" s="513"/>
      <c r="T166" s="513"/>
      <c r="U166" s="513"/>
      <c r="V166" s="515"/>
    </row>
    <row r="167" spans="2:22" s="508" customFormat="1" ht="17.45" customHeight="1">
      <c r="B167" s="530"/>
      <c r="C167" s="999" t="s">
        <v>617</v>
      </c>
      <c r="D167" s="999"/>
      <c r="E167" s="999"/>
      <c r="F167" s="505"/>
      <c r="G167" s="1000" t="s">
        <v>821</v>
      </c>
      <c r="H167" s="1000"/>
      <c r="I167" s="1000"/>
      <c r="J167" s="1000"/>
      <c r="K167" s="1000"/>
      <c r="L167" s="1000"/>
      <c r="M167" s="506"/>
      <c r="N167" s="1000" t="s">
        <v>618</v>
      </c>
      <c r="O167" s="1000"/>
      <c r="P167" s="1000"/>
      <c r="Q167" s="1000"/>
      <c r="R167" s="1000"/>
      <c r="S167" s="1000"/>
      <c r="T167" s="1000"/>
      <c r="U167" s="1000"/>
      <c r="V167" s="507"/>
    </row>
    <row r="168" spans="2:22" s="508" customFormat="1" ht="17.45" customHeight="1">
      <c r="B168" s="509"/>
      <c r="C168" s="999" t="s">
        <v>619</v>
      </c>
      <c r="D168" s="999"/>
      <c r="E168" s="1030" t="s">
        <v>707</v>
      </c>
      <c r="F168" s="1030"/>
      <c r="G168" s="1030"/>
      <c r="H168" s="1030"/>
      <c r="I168" s="1030"/>
      <c r="J168" s="1030"/>
      <c r="K168" s="1005" t="s">
        <v>620</v>
      </c>
      <c r="L168" s="1005"/>
      <c r="M168" s="510"/>
      <c r="N168" s="1006" t="s">
        <v>708</v>
      </c>
      <c r="O168" s="1006"/>
      <c r="P168" s="1006"/>
      <c r="Q168" s="510"/>
      <c r="R168" s="510"/>
      <c r="S168" s="510"/>
      <c r="T168" s="510"/>
      <c r="U168" s="510"/>
      <c r="V168" s="511"/>
    </row>
    <row r="169" spans="2:22" s="508" customFormat="1" ht="17.45" customHeight="1">
      <c r="B169" s="512"/>
      <c r="C169" s="999"/>
      <c r="D169" s="999"/>
      <c r="E169" s="1030"/>
      <c r="F169" s="1030"/>
      <c r="G169" s="1030"/>
      <c r="H169" s="1030"/>
      <c r="I169" s="1030"/>
      <c r="J169" s="1030"/>
      <c r="K169" s="1007" t="s">
        <v>622</v>
      </c>
      <c r="L169" s="1007"/>
      <c r="M169" s="513"/>
      <c r="N169" s="1008">
        <v>1</v>
      </c>
      <c r="O169" s="1008"/>
      <c r="P169" s="1008"/>
      <c r="Q169" s="513"/>
      <c r="R169" s="1007" t="s">
        <v>623</v>
      </c>
      <c r="S169" s="1007"/>
      <c r="T169" s="513"/>
      <c r="U169" s="514" t="s">
        <v>630</v>
      </c>
      <c r="V169" s="515"/>
    </row>
    <row r="170" spans="2:22" s="508" customFormat="1" ht="17.45" customHeight="1">
      <c r="B170" s="997" t="s">
        <v>625</v>
      </c>
      <c r="C170" s="997"/>
      <c r="D170" s="998" t="s">
        <v>259</v>
      </c>
      <c r="E170" s="998"/>
      <c r="F170" s="998"/>
      <c r="G170" s="998"/>
      <c r="H170" s="998"/>
      <c r="I170" s="998"/>
      <c r="J170" s="997" t="s">
        <v>266</v>
      </c>
      <c r="K170" s="997"/>
      <c r="L170" s="997" t="s">
        <v>270</v>
      </c>
      <c r="M170" s="997"/>
      <c r="N170" s="997"/>
      <c r="O170" s="998" t="s">
        <v>626</v>
      </c>
      <c r="P170" s="998"/>
      <c r="Q170" s="998"/>
      <c r="R170" s="998"/>
      <c r="S170" s="998" t="s">
        <v>627</v>
      </c>
      <c r="T170" s="998"/>
      <c r="U170" s="998"/>
      <c r="V170" s="998"/>
    </row>
    <row r="171" spans="2:22" s="508" customFormat="1" ht="17.45" customHeight="1">
      <c r="B171" s="516"/>
      <c r="C171" s="517" t="s">
        <v>701</v>
      </c>
      <c r="D171" s="1060" t="s">
        <v>702</v>
      </c>
      <c r="E171" s="1060"/>
      <c r="F171" s="1060"/>
      <c r="G171" s="1060"/>
      <c r="H171" s="1060"/>
      <c r="I171" s="1060"/>
      <c r="J171" s="1061" t="s">
        <v>698</v>
      </c>
      <c r="K171" s="1061"/>
      <c r="L171" s="1062">
        <v>2.9867000000000001E-3</v>
      </c>
      <c r="M171" s="1062"/>
      <c r="N171" s="1062"/>
      <c r="O171" s="1063">
        <v>220.74</v>
      </c>
      <c r="P171" s="1063"/>
      <c r="Q171" s="1063"/>
      <c r="R171" s="1063"/>
      <c r="S171" s="1064">
        <f>L171*O171</f>
        <v>0.65928415800000006</v>
      </c>
      <c r="T171" s="1064"/>
      <c r="U171" s="1064"/>
      <c r="V171" s="1064"/>
    </row>
    <row r="172" spans="2:22" s="508" customFormat="1" ht="17.45" customHeight="1">
      <c r="B172" s="520"/>
      <c r="C172" s="521" t="s">
        <v>634</v>
      </c>
      <c r="D172" s="1069" t="s">
        <v>635</v>
      </c>
      <c r="E172" s="1069"/>
      <c r="F172" s="1069"/>
      <c r="G172" s="1069"/>
      <c r="H172" s="1069"/>
      <c r="I172" s="1069"/>
      <c r="J172" s="1070" t="s">
        <v>633</v>
      </c>
      <c r="K172" s="1070"/>
      <c r="L172" s="1071">
        <v>2.5499999999999998E-2</v>
      </c>
      <c r="M172" s="1071"/>
      <c r="N172" s="1071"/>
      <c r="O172" s="1072">
        <v>16.829999999999998</v>
      </c>
      <c r="P172" s="1072"/>
      <c r="Q172" s="1072"/>
      <c r="R172" s="1072"/>
      <c r="S172" s="1024">
        <f>L172*O172</f>
        <v>0.42916499999999991</v>
      </c>
      <c r="T172" s="1025"/>
      <c r="U172" s="1025"/>
      <c r="V172" s="1026"/>
    </row>
    <row r="173" spans="2:22" s="508" customFormat="1" ht="17.45" customHeight="1">
      <c r="B173" s="965"/>
      <c r="C173" s="965"/>
      <c r="D173" s="965"/>
      <c r="E173" s="965"/>
      <c r="F173" s="965"/>
      <c r="G173" s="965"/>
      <c r="H173" s="965"/>
      <c r="I173" s="966" t="s">
        <v>645</v>
      </c>
      <c r="J173" s="966"/>
      <c r="K173" s="966"/>
      <c r="L173" s="966"/>
      <c r="M173" s="966"/>
      <c r="N173" s="966"/>
      <c r="O173" s="966"/>
      <c r="P173" s="966"/>
      <c r="Q173" s="966"/>
      <c r="R173" s="966"/>
      <c r="S173" s="1029">
        <f>SUM(S171:V172)</f>
        <v>1.088449158</v>
      </c>
      <c r="T173" s="1029"/>
      <c r="U173" s="1029"/>
      <c r="V173" s="1029"/>
    </row>
    <row r="174" spans="2:22" s="508" customFormat="1" ht="17.45" customHeight="1">
      <c r="B174" s="967"/>
      <c r="C174" s="967"/>
      <c r="D174" s="967"/>
      <c r="E174" s="967"/>
      <c r="F174" s="967"/>
      <c r="G174" s="967"/>
      <c r="H174" s="967"/>
      <c r="I174" s="967"/>
      <c r="J174" s="967"/>
      <c r="K174" s="967"/>
      <c r="L174" s="967"/>
      <c r="M174" s="967"/>
      <c r="N174" s="967"/>
      <c r="O174" s="967"/>
      <c r="P174" s="967"/>
      <c r="Q174" s="967"/>
      <c r="R174" s="967"/>
      <c r="S174" s="967"/>
      <c r="T174" s="967"/>
      <c r="U174" s="967"/>
      <c r="V174" s="967"/>
    </row>
    <row r="175" spans="2:22" s="508" customFormat="1" ht="17.45" customHeight="1">
      <c r="B175" s="968"/>
      <c r="C175" s="968"/>
      <c r="D175" s="968"/>
      <c r="E175" s="968"/>
      <c r="F175" s="968"/>
      <c r="G175" s="968"/>
      <c r="H175" s="968"/>
      <c r="I175" s="969" t="s">
        <v>646</v>
      </c>
      <c r="J175" s="969"/>
      <c r="K175" s="969"/>
      <c r="L175" s="969"/>
      <c r="M175" s="969"/>
      <c r="N175" s="969"/>
      <c r="O175" s="969"/>
      <c r="P175" s="969"/>
      <c r="Q175" s="969"/>
      <c r="R175" s="969"/>
      <c r="S175" s="963">
        <f>S173</f>
        <v>1.088449158</v>
      </c>
      <c r="T175" s="963"/>
      <c r="U175" s="963"/>
      <c r="V175" s="964"/>
    </row>
    <row r="176" spans="2:22" s="508" customFormat="1" ht="17.45" customHeight="1">
      <c r="B176" s="968"/>
      <c r="C176" s="968"/>
      <c r="D176" s="968"/>
      <c r="E176" s="968"/>
      <c r="F176" s="968"/>
      <c r="G176" s="968"/>
      <c r="H176" s="969" t="s">
        <v>647</v>
      </c>
      <c r="I176" s="969"/>
      <c r="J176" s="969"/>
      <c r="K176" s="969"/>
      <c r="L176" s="969"/>
      <c r="M176" s="970">
        <v>20.7</v>
      </c>
      <c r="N176" s="970"/>
      <c r="O176" s="970"/>
      <c r="P176" s="969" t="s">
        <v>648</v>
      </c>
      <c r="Q176" s="969"/>
      <c r="R176" s="969"/>
      <c r="S176" s="963">
        <f>S175*M176%</f>
        <v>0.22530897570599998</v>
      </c>
      <c r="T176" s="963"/>
      <c r="U176" s="963"/>
      <c r="V176" s="964"/>
    </row>
    <row r="177" spans="2:22" s="508" customFormat="1" ht="17.45" customHeight="1">
      <c r="B177" s="968"/>
      <c r="C177" s="968"/>
      <c r="D177" s="968"/>
      <c r="E177" s="968"/>
      <c r="F177" s="968"/>
      <c r="G177" s="968"/>
      <c r="H177" s="968"/>
      <c r="I177" s="969" t="s">
        <v>649</v>
      </c>
      <c r="J177" s="969"/>
      <c r="K177" s="969"/>
      <c r="L177" s="969"/>
      <c r="M177" s="969"/>
      <c r="N177" s="969"/>
      <c r="O177" s="969"/>
      <c r="P177" s="969"/>
      <c r="Q177" s="969"/>
      <c r="R177" s="969"/>
      <c r="S177" s="963">
        <f>S175+S176</f>
        <v>1.313758133706</v>
      </c>
      <c r="T177" s="963"/>
      <c r="U177" s="963"/>
      <c r="V177" s="964"/>
    </row>
    <row r="178" spans="2:22" s="508" customFormat="1" ht="144.94999999999999" customHeight="1">
      <c r="B178" s="522"/>
      <c r="C178" s="523"/>
      <c r="D178" s="524"/>
      <c r="E178" s="524"/>
      <c r="F178" s="524"/>
      <c r="G178" s="524"/>
      <c r="H178" s="524"/>
      <c r="I178" s="524"/>
      <c r="J178" s="524"/>
      <c r="K178" s="523"/>
      <c r="L178" s="523"/>
      <c r="M178" s="523"/>
      <c r="N178" s="523"/>
      <c r="O178" s="523"/>
      <c r="P178" s="523"/>
      <c r="Q178" s="523"/>
      <c r="R178" s="523"/>
      <c r="S178" s="523"/>
      <c r="T178" s="523"/>
      <c r="U178" s="523"/>
      <c r="V178" s="525"/>
    </row>
    <row r="179" spans="2:22" s="508" customFormat="1" ht="144.94999999999999" customHeight="1">
      <c r="B179" s="522"/>
      <c r="C179" s="523"/>
      <c r="D179" s="524"/>
      <c r="E179" s="524"/>
      <c r="F179" s="524"/>
      <c r="G179" s="524"/>
      <c r="H179" s="524"/>
      <c r="I179" s="524"/>
      <c r="J179" s="524"/>
      <c r="K179" s="523"/>
      <c r="L179" s="523"/>
      <c r="M179" s="523"/>
      <c r="N179" s="523"/>
      <c r="O179" s="523"/>
      <c r="P179" s="523"/>
      <c r="Q179" s="523"/>
      <c r="R179" s="523"/>
      <c r="S179" s="523"/>
      <c r="T179" s="523"/>
      <c r="U179" s="523"/>
      <c r="V179" s="525"/>
    </row>
    <row r="180" spans="2:22" s="508" customFormat="1" ht="144.94999999999999" customHeight="1">
      <c r="B180" s="522"/>
      <c r="C180" s="523"/>
      <c r="D180" s="524"/>
      <c r="E180" s="524"/>
      <c r="F180" s="524"/>
      <c r="G180" s="524"/>
      <c r="H180" s="524"/>
      <c r="I180" s="524"/>
      <c r="J180" s="524"/>
      <c r="K180" s="523"/>
      <c r="L180" s="523"/>
      <c r="M180" s="523"/>
      <c r="N180" s="523"/>
      <c r="O180" s="523"/>
      <c r="P180" s="523"/>
      <c r="Q180" s="523"/>
      <c r="R180" s="523"/>
      <c r="S180" s="523"/>
      <c r="T180" s="523"/>
      <c r="U180" s="523"/>
      <c r="V180" s="525"/>
    </row>
    <row r="181" spans="2:22" s="508" customFormat="1" ht="17.45" customHeight="1">
      <c r="B181" s="522"/>
      <c r="C181" s="523"/>
      <c r="D181" s="524"/>
      <c r="E181" s="524"/>
      <c r="F181" s="524"/>
      <c r="G181" s="524"/>
      <c r="H181" s="524"/>
      <c r="I181" s="524"/>
      <c r="J181" s="524"/>
      <c r="K181" s="523"/>
      <c r="L181" s="523"/>
      <c r="M181" s="523"/>
      <c r="N181" s="523"/>
      <c r="O181" s="523"/>
      <c r="P181" s="523"/>
      <c r="Q181" s="523"/>
      <c r="R181" s="523"/>
      <c r="S181" s="523"/>
      <c r="T181" s="523"/>
      <c r="U181" s="523"/>
      <c r="V181" s="525"/>
    </row>
    <row r="182" spans="2:22" s="508" customFormat="1" ht="17.45" customHeight="1">
      <c r="B182" s="512"/>
      <c r="C182" s="513"/>
      <c r="D182" s="526"/>
      <c r="E182" s="526"/>
      <c r="F182" s="526"/>
      <c r="G182" s="526"/>
      <c r="H182" s="526"/>
      <c r="I182" s="526"/>
      <c r="J182" s="526"/>
      <c r="K182" s="513"/>
      <c r="L182" s="513"/>
      <c r="M182" s="513"/>
      <c r="N182" s="513"/>
      <c r="O182" s="513"/>
      <c r="P182" s="513"/>
      <c r="Q182" s="513"/>
      <c r="R182" s="513"/>
      <c r="S182" s="513"/>
      <c r="T182" s="513"/>
      <c r="U182" s="513"/>
      <c r="V182" s="515"/>
    </row>
    <row r="183" spans="2:22" s="508" customFormat="1" ht="17.45" customHeight="1">
      <c r="B183" s="530"/>
      <c r="C183" s="999" t="s">
        <v>617</v>
      </c>
      <c r="D183" s="999"/>
      <c r="E183" s="999"/>
      <c r="F183" s="505"/>
      <c r="G183" s="1000" t="s">
        <v>821</v>
      </c>
      <c r="H183" s="1000"/>
      <c r="I183" s="1000"/>
      <c r="J183" s="1000"/>
      <c r="K183" s="1000"/>
      <c r="L183" s="1000"/>
      <c r="M183" s="506"/>
      <c r="N183" s="1000" t="s">
        <v>618</v>
      </c>
      <c r="O183" s="1000"/>
      <c r="P183" s="1000"/>
      <c r="Q183" s="1000"/>
      <c r="R183" s="1000"/>
      <c r="S183" s="1000"/>
      <c r="T183" s="1000"/>
      <c r="U183" s="1000"/>
      <c r="V183" s="507"/>
    </row>
    <row r="184" spans="2:22" s="508" customFormat="1" ht="17.45" customHeight="1">
      <c r="B184" s="509"/>
      <c r="C184" s="999" t="s">
        <v>619</v>
      </c>
      <c r="D184" s="999"/>
      <c r="E184" s="1030" t="s">
        <v>709</v>
      </c>
      <c r="F184" s="1030"/>
      <c r="G184" s="1030"/>
      <c r="H184" s="1030"/>
      <c r="I184" s="1030"/>
      <c r="J184" s="1030"/>
      <c r="K184" s="1005" t="s">
        <v>620</v>
      </c>
      <c r="L184" s="1005"/>
      <c r="M184" s="510"/>
      <c r="N184" s="1006" t="s">
        <v>710</v>
      </c>
      <c r="O184" s="1006"/>
      <c r="P184" s="1006"/>
      <c r="Q184" s="510"/>
      <c r="R184" s="510"/>
      <c r="S184" s="510"/>
      <c r="T184" s="510"/>
      <c r="U184" s="510"/>
      <c r="V184" s="511"/>
    </row>
    <row r="185" spans="2:22" s="508" customFormat="1" ht="17.45" customHeight="1">
      <c r="B185" s="512"/>
      <c r="C185" s="999"/>
      <c r="D185" s="999"/>
      <c r="E185" s="1030"/>
      <c r="F185" s="1030"/>
      <c r="G185" s="1030"/>
      <c r="H185" s="1030"/>
      <c r="I185" s="1030"/>
      <c r="J185" s="1030"/>
      <c r="K185" s="1007" t="s">
        <v>622</v>
      </c>
      <c r="L185" s="1007"/>
      <c r="M185" s="513"/>
      <c r="N185" s="1008">
        <v>1</v>
      </c>
      <c r="O185" s="1008"/>
      <c r="P185" s="1008"/>
      <c r="Q185" s="513"/>
      <c r="R185" s="1007" t="s">
        <v>623</v>
      </c>
      <c r="S185" s="1007"/>
      <c r="T185" s="513"/>
      <c r="U185" s="514" t="s">
        <v>624</v>
      </c>
      <c r="V185" s="515"/>
    </row>
    <row r="186" spans="2:22" s="508" customFormat="1" ht="17.45" customHeight="1">
      <c r="B186" s="997" t="s">
        <v>625</v>
      </c>
      <c r="C186" s="997"/>
      <c r="D186" s="998" t="s">
        <v>259</v>
      </c>
      <c r="E186" s="998"/>
      <c r="F186" s="998"/>
      <c r="G186" s="998"/>
      <c r="H186" s="998"/>
      <c r="I186" s="998"/>
      <c r="J186" s="997" t="s">
        <v>266</v>
      </c>
      <c r="K186" s="997"/>
      <c r="L186" s="997" t="s">
        <v>270</v>
      </c>
      <c r="M186" s="997"/>
      <c r="N186" s="997"/>
      <c r="O186" s="998" t="s">
        <v>626</v>
      </c>
      <c r="P186" s="998"/>
      <c r="Q186" s="998"/>
      <c r="R186" s="998"/>
      <c r="S186" s="998" t="s">
        <v>627</v>
      </c>
      <c r="T186" s="998"/>
      <c r="U186" s="998"/>
      <c r="V186" s="998"/>
    </row>
    <row r="187" spans="2:22" s="508" customFormat="1" ht="17.45" customHeight="1">
      <c r="B187" s="516"/>
      <c r="C187" s="517">
        <v>5901</v>
      </c>
      <c r="D187" s="1060" t="s">
        <v>712</v>
      </c>
      <c r="E187" s="1060"/>
      <c r="F187" s="1060"/>
      <c r="G187" s="1060"/>
      <c r="H187" s="1060"/>
      <c r="I187" s="1060"/>
      <c r="J187" s="1061" t="s">
        <v>698</v>
      </c>
      <c r="K187" s="1061"/>
      <c r="L187" s="1062">
        <v>1.6109E-3</v>
      </c>
      <c r="M187" s="1062"/>
      <c r="N187" s="1062"/>
      <c r="O187" s="1063">
        <v>269.25</v>
      </c>
      <c r="P187" s="1063"/>
      <c r="Q187" s="1063"/>
      <c r="R187" s="1063"/>
      <c r="S187" s="1064">
        <f>L187*O187</f>
        <v>0.43373482499999999</v>
      </c>
      <c r="T187" s="1064"/>
      <c r="U187" s="1064"/>
      <c r="V187" s="1064"/>
    </row>
    <row r="188" spans="2:22" s="508" customFormat="1" ht="17.45" customHeight="1">
      <c r="B188" s="518"/>
      <c r="C188" s="519" t="s">
        <v>713</v>
      </c>
      <c r="D188" s="1065" t="s">
        <v>712</v>
      </c>
      <c r="E188" s="1065"/>
      <c r="F188" s="1065"/>
      <c r="G188" s="1065"/>
      <c r="H188" s="1065"/>
      <c r="I188" s="1065"/>
      <c r="J188" s="1066" t="s">
        <v>706</v>
      </c>
      <c r="K188" s="1066"/>
      <c r="L188" s="1067">
        <v>1.0739E-3</v>
      </c>
      <c r="M188" s="1067"/>
      <c r="N188" s="1067"/>
      <c r="O188" s="1068">
        <v>46.8</v>
      </c>
      <c r="P188" s="1068"/>
      <c r="Q188" s="1068"/>
      <c r="R188" s="1068"/>
      <c r="S188" s="996">
        <f t="shared" ref="S188:S194" si="5">L188*O188</f>
        <v>5.0258520000000001E-2</v>
      </c>
      <c r="T188" s="963"/>
      <c r="U188" s="963"/>
      <c r="V188" s="964"/>
    </row>
    <row r="189" spans="2:22" s="508" customFormat="1" ht="17.45" customHeight="1">
      <c r="B189" s="518"/>
      <c r="C189" s="519" t="s">
        <v>696</v>
      </c>
      <c r="D189" s="1065" t="s">
        <v>697</v>
      </c>
      <c r="E189" s="1065"/>
      <c r="F189" s="1065"/>
      <c r="G189" s="1065"/>
      <c r="H189" s="1065"/>
      <c r="I189" s="1065"/>
      <c r="J189" s="1066" t="s">
        <v>698</v>
      </c>
      <c r="K189" s="1066"/>
      <c r="L189" s="1067">
        <v>1.8525E-3</v>
      </c>
      <c r="M189" s="1067"/>
      <c r="N189" s="1067"/>
      <c r="O189" s="1068">
        <v>197.94</v>
      </c>
      <c r="P189" s="1068"/>
      <c r="Q189" s="1068"/>
      <c r="R189" s="1068"/>
      <c r="S189" s="996">
        <f t="shared" si="5"/>
        <v>0.36668384999999998</v>
      </c>
      <c r="T189" s="963"/>
      <c r="U189" s="963"/>
      <c r="V189" s="964"/>
    </row>
    <row r="190" spans="2:22" s="508" customFormat="1" ht="17.45" customHeight="1">
      <c r="B190" s="518"/>
      <c r="C190" s="519" t="s">
        <v>714</v>
      </c>
      <c r="D190" s="1065" t="s">
        <v>697</v>
      </c>
      <c r="E190" s="1065"/>
      <c r="F190" s="1065"/>
      <c r="G190" s="1065"/>
      <c r="H190" s="1065"/>
      <c r="I190" s="1065"/>
      <c r="J190" s="1066" t="s">
        <v>706</v>
      </c>
      <c r="K190" s="1066"/>
      <c r="L190" s="1067">
        <v>8.3230000000000001E-4</v>
      </c>
      <c r="M190" s="1067"/>
      <c r="N190" s="1067"/>
      <c r="O190" s="1068">
        <v>62.66</v>
      </c>
      <c r="P190" s="1068"/>
      <c r="Q190" s="1068"/>
      <c r="R190" s="1068"/>
      <c r="S190" s="996">
        <f t="shared" si="5"/>
        <v>5.2151917999999998E-2</v>
      </c>
      <c r="T190" s="963"/>
      <c r="U190" s="963"/>
      <c r="V190" s="964"/>
    </row>
    <row r="191" spans="2:22" s="508" customFormat="1" ht="17.45" customHeight="1">
      <c r="B191" s="518"/>
      <c r="C191" s="519">
        <v>7049</v>
      </c>
      <c r="D191" s="1065" t="s">
        <v>715</v>
      </c>
      <c r="E191" s="1065"/>
      <c r="F191" s="1065"/>
      <c r="G191" s="1065"/>
      <c r="H191" s="1065"/>
      <c r="I191" s="1065"/>
      <c r="J191" s="1066" t="s">
        <v>698</v>
      </c>
      <c r="K191" s="1066"/>
      <c r="L191" s="1067">
        <v>0</v>
      </c>
      <c r="M191" s="1067"/>
      <c r="N191" s="1067"/>
      <c r="O191" s="1068">
        <v>196.11</v>
      </c>
      <c r="P191" s="1068"/>
      <c r="Q191" s="1068"/>
      <c r="R191" s="1068"/>
      <c r="S191" s="996">
        <f t="shared" si="5"/>
        <v>0</v>
      </c>
      <c r="T191" s="963"/>
      <c r="U191" s="963"/>
      <c r="V191" s="964"/>
    </row>
    <row r="192" spans="2:22" s="508" customFormat="1" ht="17.45" customHeight="1">
      <c r="B192" s="518"/>
      <c r="C192" s="519" t="s">
        <v>634</v>
      </c>
      <c r="D192" s="1065" t="s">
        <v>635</v>
      </c>
      <c r="E192" s="1065"/>
      <c r="F192" s="1065"/>
      <c r="G192" s="1065"/>
      <c r="H192" s="1065"/>
      <c r="I192" s="1065"/>
      <c r="J192" s="1066" t="s">
        <v>633</v>
      </c>
      <c r="K192" s="1066"/>
      <c r="L192" s="1067">
        <v>1.07396E-2</v>
      </c>
      <c r="M192" s="1067"/>
      <c r="N192" s="1067"/>
      <c r="O192" s="1068">
        <v>16.829999999999998</v>
      </c>
      <c r="P192" s="1068"/>
      <c r="Q192" s="1068"/>
      <c r="R192" s="1068"/>
      <c r="S192" s="996">
        <f t="shared" si="5"/>
        <v>0.18074746799999999</v>
      </c>
      <c r="T192" s="963"/>
      <c r="U192" s="963"/>
      <c r="V192" s="964"/>
    </row>
    <row r="193" spans="2:22" s="508" customFormat="1" ht="17.45" customHeight="1">
      <c r="B193" s="518"/>
      <c r="C193" s="519">
        <v>96028</v>
      </c>
      <c r="D193" s="1065" t="s">
        <v>716</v>
      </c>
      <c r="E193" s="1065"/>
      <c r="F193" s="1065"/>
      <c r="G193" s="1065"/>
      <c r="H193" s="1065"/>
      <c r="I193" s="1065"/>
      <c r="J193" s="1066" t="s">
        <v>698</v>
      </c>
      <c r="K193" s="1066"/>
      <c r="L193" s="1067">
        <v>1.3424000000000001E-3</v>
      </c>
      <c r="M193" s="1067"/>
      <c r="N193" s="1067"/>
      <c r="O193" s="1068">
        <v>166.84</v>
      </c>
      <c r="P193" s="1068"/>
      <c r="Q193" s="1068"/>
      <c r="R193" s="1068"/>
      <c r="S193" s="996">
        <f t="shared" si="5"/>
        <v>0.22396601600000002</v>
      </c>
      <c r="T193" s="963"/>
      <c r="U193" s="963"/>
      <c r="V193" s="964"/>
    </row>
    <row r="194" spans="2:22" s="508" customFormat="1" ht="17.45" customHeight="1">
      <c r="B194" s="520"/>
      <c r="C194" s="521">
        <v>96029</v>
      </c>
      <c r="D194" s="1069" t="s">
        <v>716</v>
      </c>
      <c r="E194" s="1069"/>
      <c r="F194" s="1069"/>
      <c r="G194" s="1069"/>
      <c r="H194" s="1069"/>
      <c r="I194" s="1069"/>
      <c r="J194" s="1070" t="s">
        <v>706</v>
      </c>
      <c r="K194" s="1070"/>
      <c r="L194" s="1071">
        <v>1.3424000000000001E-3</v>
      </c>
      <c r="M194" s="1071"/>
      <c r="N194" s="1071"/>
      <c r="O194" s="1072">
        <v>34.61</v>
      </c>
      <c r="P194" s="1072"/>
      <c r="Q194" s="1072"/>
      <c r="R194" s="1072"/>
      <c r="S194" s="1024">
        <f t="shared" si="5"/>
        <v>4.6460464E-2</v>
      </c>
      <c r="T194" s="1025"/>
      <c r="U194" s="1025"/>
      <c r="V194" s="1026"/>
    </row>
    <row r="195" spans="2:22" s="508" customFormat="1" ht="17.45" customHeight="1">
      <c r="B195" s="965"/>
      <c r="C195" s="965"/>
      <c r="D195" s="965"/>
      <c r="E195" s="965"/>
      <c r="F195" s="965"/>
      <c r="G195" s="965"/>
      <c r="H195" s="965"/>
      <c r="I195" s="966" t="s">
        <v>645</v>
      </c>
      <c r="J195" s="966"/>
      <c r="K195" s="966"/>
      <c r="L195" s="966"/>
      <c r="M195" s="966"/>
      <c r="N195" s="966"/>
      <c r="O195" s="966"/>
      <c r="P195" s="966"/>
      <c r="Q195" s="966"/>
      <c r="R195" s="966"/>
      <c r="S195" s="1029">
        <f>SUM(S187:V194)</f>
        <v>1.354003061</v>
      </c>
      <c r="T195" s="1029"/>
      <c r="U195" s="1029"/>
      <c r="V195" s="1029"/>
    </row>
    <row r="196" spans="2:22" s="508" customFormat="1" ht="17.45" customHeight="1">
      <c r="B196" s="967"/>
      <c r="C196" s="967"/>
      <c r="D196" s="967"/>
      <c r="E196" s="967"/>
      <c r="F196" s="967"/>
      <c r="G196" s="967"/>
      <c r="H196" s="967"/>
      <c r="I196" s="967"/>
      <c r="J196" s="967"/>
      <c r="K196" s="967"/>
      <c r="L196" s="967"/>
      <c r="M196" s="967"/>
      <c r="N196" s="967"/>
      <c r="O196" s="967"/>
      <c r="P196" s="967"/>
      <c r="Q196" s="967"/>
      <c r="R196" s="967"/>
      <c r="S196" s="967"/>
      <c r="T196" s="967"/>
      <c r="U196" s="967"/>
      <c r="V196" s="967"/>
    </row>
    <row r="197" spans="2:22" s="508" customFormat="1" ht="17.45" customHeight="1">
      <c r="B197" s="968"/>
      <c r="C197" s="968"/>
      <c r="D197" s="968"/>
      <c r="E197" s="968"/>
      <c r="F197" s="968"/>
      <c r="G197" s="968"/>
      <c r="H197" s="968"/>
      <c r="I197" s="969" t="s">
        <v>646</v>
      </c>
      <c r="J197" s="969"/>
      <c r="K197" s="969"/>
      <c r="L197" s="969"/>
      <c r="M197" s="969"/>
      <c r="N197" s="969"/>
      <c r="O197" s="969"/>
      <c r="P197" s="969"/>
      <c r="Q197" s="969"/>
      <c r="R197" s="969"/>
      <c r="S197" s="963">
        <f>S195</f>
        <v>1.354003061</v>
      </c>
      <c r="T197" s="963"/>
      <c r="U197" s="963"/>
      <c r="V197" s="964"/>
    </row>
    <row r="198" spans="2:22" s="508" customFormat="1" ht="17.45" customHeight="1">
      <c r="B198" s="968"/>
      <c r="C198" s="968"/>
      <c r="D198" s="968"/>
      <c r="E198" s="968"/>
      <c r="F198" s="968"/>
      <c r="G198" s="968"/>
      <c r="H198" s="969" t="s">
        <v>647</v>
      </c>
      <c r="I198" s="969"/>
      <c r="J198" s="969"/>
      <c r="K198" s="969"/>
      <c r="L198" s="969"/>
      <c r="M198" s="970">
        <v>20.7</v>
      </c>
      <c r="N198" s="970"/>
      <c r="O198" s="970"/>
      <c r="P198" s="969" t="s">
        <v>648</v>
      </c>
      <c r="Q198" s="969"/>
      <c r="R198" s="969"/>
      <c r="S198" s="963">
        <f>S197*M198%</f>
        <v>0.28027863362700001</v>
      </c>
      <c r="T198" s="963"/>
      <c r="U198" s="963"/>
      <c r="V198" s="964"/>
    </row>
    <row r="199" spans="2:22" s="508" customFormat="1" ht="17.45" customHeight="1">
      <c r="B199" s="968"/>
      <c r="C199" s="968"/>
      <c r="D199" s="968"/>
      <c r="E199" s="968"/>
      <c r="F199" s="968"/>
      <c r="G199" s="968"/>
      <c r="H199" s="968"/>
      <c r="I199" s="969" t="s">
        <v>649</v>
      </c>
      <c r="J199" s="969"/>
      <c r="K199" s="969"/>
      <c r="L199" s="969"/>
      <c r="M199" s="969"/>
      <c r="N199" s="969"/>
      <c r="O199" s="969"/>
      <c r="P199" s="969"/>
      <c r="Q199" s="969"/>
      <c r="R199" s="969"/>
      <c r="S199" s="963">
        <f>S197+S198</f>
        <v>1.634281694627</v>
      </c>
      <c r="T199" s="963"/>
      <c r="U199" s="963"/>
      <c r="V199" s="964"/>
    </row>
    <row r="200" spans="2:22" s="508" customFormat="1" ht="144.94999999999999" customHeight="1">
      <c r="B200" s="522"/>
      <c r="C200" s="523"/>
      <c r="D200" s="524"/>
      <c r="E200" s="524"/>
      <c r="F200" s="524"/>
      <c r="G200" s="524"/>
      <c r="H200" s="524"/>
      <c r="I200" s="524"/>
      <c r="J200" s="524"/>
      <c r="K200" s="523"/>
      <c r="L200" s="523"/>
      <c r="M200" s="523"/>
      <c r="N200" s="523"/>
      <c r="O200" s="523"/>
      <c r="P200" s="523"/>
      <c r="Q200" s="523"/>
      <c r="R200" s="523"/>
      <c r="S200" s="523"/>
      <c r="T200" s="523"/>
      <c r="U200" s="523"/>
      <c r="V200" s="525"/>
    </row>
    <row r="201" spans="2:22" s="508" customFormat="1" ht="144.94999999999999" customHeight="1">
      <c r="B201" s="522"/>
      <c r="C201" s="523"/>
      <c r="D201" s="524"/>
      <c r="E201" s="524"/>
      <c r="F201" s="524"/>
      <c r="G201" s="524"/>
      <c r="H201" s="524"/>
      <c r="I201" s="524"/>
      <c r="J201" s="524"/>
      <c r="K201" s="523"/>
      <c r="L201" s="523"/>
      <c r="M201" s="523"/>
      <c r="N201" s="523"/>
      <c r="O201" s="523"/>
      <c r="P201" s="523"/>
      <c r="Q201" s="523"/>
      <c r="R201" s="523"/>
      <c r="S201" s="523"/>
      <c r="T201" s="523"/>
      <c r="U201" s="523"/>
      <c r="V201" s="525"/>
    </row>
    <row r="202" spans="2:22" s="508" customFormat="1" ht="144.94999999999999" customHeight="1">
      <c r="B202" s="522"/>
      <c r="C202" s="523"/>
      <c r="D202" s="524"/>
      <c r="E202" s="524"/>
      <c r="F202" s="524"/>
      <c r="G202" s="524"/>
      <c r="H202" s="524"/>
      <c r="I202" s="524"/>
      <c r="J202" s="524"/>
      <c r="K202" s="523"/>
      <c r="L202" s="523"/>
      <c r="M202" s="523"/>
      <c r="N202" s="523"/>
      <c r="O202" s="523"/>
      <c r="P202" s="523"/>
      <c r="Q202" s="523"/>
      <c r="R202" s="523"/>
      <c r="S202" s="523"/>
      <c r="T202" s="523"/>
      <c r="U202" s="523"/>
      <c r="V202" s="525"/>
    </row>
    <row r="203" spans="2:22" s="508" customFormat="1" ht="17.45" customHeight="1">
      <c r="B203" s="512"/>
      <c r="C203" s="513"/>
      <c r="D203" s="526"/>
      <c r="E203" s="526"/>
      <c r="F203" s="526"/>
      <c r="G203" s="526"/>
      <c r="H203" s="526"/>
      <c r="I203" s="526"/>
      <c r="J203" s="526"/>
      <c r="K203" s="513"/>
      <c r="L203" s="513"/>
      <c r="M203" s="513"/>
      <c r="N203" s="513"/>
      <c r="O203" s="513"/>
      <c r="P203" s="513"/>
      <c r="Q203" s="513"/>
      <c r="R203" s="513"/>
      <c r="S203" s="513"/>
      <c r="T203" s="513"/>
      <c r="U203" s="513"/>
      <c r="V203" s="515"/>
    </row>
    <row r="204" spans="2:22" s="508" customFormat="1" ht="17.45" customHeight="1">
      <c r="B204" s="530"/>
      <c r="C204" s="999" t="s">
        <v>617</v>
      </c>
      <c r="D204" s="999"/>
      <c r="E204" s="999"/>
      <c r="F204" s="505"/>
      <c r="G204" s="1000" t="s">
        <v>821</v>
      </c>
      <c r="H204" s="1000"/>
      <c r="I204" s="1000"/>
      <c r="J204" s="1000"/>
      <c r="K204" s="1000"/>
      <c r="L204" s="1000"/>
      <c r="M204" s="506"/>
      <c r="N204" s="1000" t="s">
        <v>618</v>
      </c>
      <c r="O204" s="1000"/>
      <c r="P204" s="1000"/>
      <c r="Q204" s="1000"/>
      <c r="R204" s="1000"/>
      <c r="S204" s="1000"/>
      <c r="T204" s="1000"/>
      <c r="U204" s="1000"/>
      <c r="V204" s="507"/>
    </row>
    <row r="205" spans="2:22" s="508" customFormat="1" ht="17.45" customHeight="1">
      <c r="B205" s="509"/>
      <c r="C205" s="999" t="s">
        <v>619</v>
      </c>
      <c r="D205" s="999"/>
      <c r="E205" s="1030" t="s">
        <v>717</v>
      </c>
      <c r="F205" s="1030"/>
      <c r="G205" s="1030"/>
      <c r="H205" s="1030"/>
      <c r="I205" s="1030"/>
      <c r="J205" s="1030"/>
      <c r="K205" s="1005" t="s">
        <v>620</v>
      </c>
      <c r="L205" s="1005"/>
      <c r="M205" s="510"/>
      <c r="N205" s="1006" t="s">
        <v>718</v>
      </c>
      <c r="O205" s="1006"/>
      <c r="P205" s="1006"/>
      <c r="Q205" s="510"/>
      <c r="R205" s="510"/>
      <c r="S205" s="510"/>
      <c r="T205" s="510"/>
      <c r="U205" s="510"/>
      <c r="V205" s="511"/>
    </row>
    <row r="206" spans="2:22" s="508" customFormat="1" ht="17.45" customHeight="1">
      <c r="B206" s="512"/>
      <c r="C206" s="999"/>
      <c r="D206" s="999"/>
      <c r="E206" s="1030"/>
      <c r="F206" s="1030"/>
      <c r="G206" s="1030"/>
      <c r="H206" s="1030"/>
      <c r="I206" s="1030"/>
      <c r="J206" s="1030"/>
      <c r="K206" s="1007" t="s">
        <v>622</v>
      </c>
      <c r="L206" s="1007"/>
      <c r="M206" s="513"/>
      <c r="N206" s="1008">
        <v>1</v>
      </c>
      <c r="O206" s="1008"/>
      <c r="P206" s="1008"/>
      <c r="Q206" s="513"/>
      <c r="R206" s="1007" t="s">
        <v>623</v>
      </c>
      <c r="S206" s="1007"/>
      <c r="T206" s="513"/>
      <c r="U206" s="514" t="s">
        <v>630</v>
      </c>
      <c r="V206" s="515"/>
    </row>
    <row r="207" spans="2:22" s="508" customFormat="1" ht="17.45" customHeight="1">
      <c r="B207" s="997" t="s">
        <v>625</v>
      </c>
      <c r="C207" s="997"/>
      <c r="D207" s="998" t="s">
        <v>259</v>
      </c>
      <c r="E207" s="998"/>
      <c r="F207" s="998"/>
      <c r="G207" s="998"/>
      <c r="H207" s="998"/>
      <c r="I207" s="998"/>
      <c r="J207" s="997" t="s">
        <v>266</v>
      </c>
      <c r="K207" s="997"/>
      <c r="L207" s="997" t="s">
        <v>270</v>
      </c>
      <c r="M207" s="997"/>
      <c r="N207" s="997"/>
      <c r="O207" s="998" t="s">
        <v>626</v>
      </c>
      <c r="P207" s="998"/>
      <c r="Q207" s="998"/>
      <c r="R207" s="998"/>
      <c r="S207" s="998" t="s">
        <v>627</v>
      </c>
      <c r="T207" s="998"/>
      <c r="U207" s="998"/>
      <c r="V207" s="998"/>
    </row>
    <row r="208" spans="2:22" s="508" customFormat="1" ht="17.45" customHeight="1">
      <c r="B208" s="516"/>
      <c r="C208" s="517" t="s">
        <v>711</v>
      </c>
      <c r="D208" s="1060" t="s">
        <v>712</v>
      </c>
      <c r="E208" s="1060"/>
      <c r="F208" s="1060"/>
      <c r="G208" s="1060"/>
      <c r="H208" s="1060"/>
      <c r="I208" s="1060"/>
      <c r="J208" s="1061" t="s">
        <v>698</v>
      </c>
      <c r="K208" s="1061"/>
      <c r="L208" s="1062">
        <v>6.4000000000000003E-3</v>
      </c>
      <c r="M208" s="1062"/>
      <c r="N208" s="1062"/>
      <c r="O208" s="1063">
        <v>269.25</v>
      </c>
      <c r="P208" s="1063"/>
      <c r="Q208" s="1063"/>
      <c r="R208" s="1063"/>
      <c r="S208" s="1064">
        <f>L208*O208</f>
        <v>1.7232000000000001</v>
      </c>
      <c r="T208" s="1064"/>
      <c r="U208" s="1064"/>
      <c r="V208" s="1064"/>
    </row>
    <row r="209" spans="2:22" s="508" customFormat="1" ht="17.45" customHeight="1">
      <c r="B209" s="518"/>
      <c r="C209" s="519" t="s">
        <v>713</v>
      </c>
      <c r="D209" s="1065" t="s">
        <v>712</v>
      </c>
      <c r="E209" s="1065"/>
      <c r="F209" s="1065"/>
      <c r="G209" s="1065"/>
      <c r="H209" s="1065"/>
      <c r="I209" s="1065"/>
      <c r="J209" s="1066" t="s">
        <v>706</v>
      </c>
      <c r="K209" s="1066"/>
      <c r="L209" s="1067">
        <v>9.4999999999999998E-3</v>
      </c>
      <c r="M209" s="1067"/>
      <c r="N209" s="1067"/>
      <c r="O209" s="1068">
        <v>46.8</v>
      </c>
      <c r="P209" s="1068"/>
      <c r="Q209" s="1068"/>
      <c r="R209" s="1068"/>
      <c r="S209" s="996">
        <f t="shared" ref="S209:S220" si="6">L209*O209</f>
        <v>0.44459999999999994</v>
      </c>
      <c r="T209" s="963"/>
      <c r="U209" s="963"/>
      <c r="V209" s="964"/>
    </row>
    <row r="210" spans="2:22" s="508" customFormat="1" ht="17.45" customHeight="1">
      <c r="B210" s="518"/>
      <c r="C210" s="519">
        <v>5921</v>
      </c>
      <c r="D210" s="1065" t="s">
        <v>719</v>
      </c>
      <c r="E210" s="1065"/>
      <c r="F210" s="1065"/>
      <c r="G210" s="1065"/>
      <c r="H210" s="1065"/>
      <c r="I210" s="1065"/>
      <c r="J210" s="1066" t="s">
        <v>698</v>
      </c>
      <c r="K210" s="1066"/>
      <c r="L210" s="1067">
        <v>2.7000000000000001E-3</v>
      </c>
      <c r="M210" s="1067"/>
      <c r="N210" s="1067"/>
      <c r="O210" s="1068">
        <v>5.83</v>
      </c>
      <c r="P210" s="1068"/>
      <c r="Q210" s="1068"/>
      <c r="R210" s="1068"/>
      <c r="S210" s="996">
        <f t="shared" si="6"/>
        <v>1.5741000000000002E-2</v>
      </c>
      <c r="T210" s="963"/>
      <c r="U210" s="963"/>
      <c r="V210" s="964"/>
    </row>
    <row r="211" spans="2:22" s="508" customFormat="1" ht="17.45" customHeight="1">
      <c r="B211" s="518"/>
      <c r="C211" s="519" t="s">
        <v>720</v>
      </c>
      <c r="D211" s="1065" t="s">
        <v>719</v>
      </c>
      <c r="E211" s="1065"/>
      <c r="F211" s="1065"/>
      <c r="G211" s="1065"/>
      <c r="H211" s="1065"/>
      <c r="I211" s="1065"/>
      <c r="J211" s="1066" t="s">
        <v>706</v>
      </c>
      <c r="K211" s="1066"/>
      <c r="L211" s="1067">
        <v>1.3299999999999999E-2</v>
      </c>
      <c r="M211" s="1067"/>
      <c r="N211" s="1067"/>
      <c r="O211" s="1068">
        <v>3.62</v>
      </c>
      <c r="P211" s="1068"/>
      <c r="Q211" s="1068"/>
      <c r="R211" s="1068"/>
      <c r="S211" s="996">
        <f t="shared" si="6"/>
        <v>4.8146000000000001E-2</v>
      </c>
      <c r="T211" s="963"/>
      <c r="U211" s="963"/>
      <c r="V211" s="964"/>
    </row>
    <row r="212" spans="2:22" s="508" customFormat="1" ht="17.45" customHeight="1">
      <c r="B212" s="518"/>
      <c r="C212" s="519" t="s">
        <v>696</v>
      </c>
      <c r="D212" s="1065" t="s">
        <v>697</v>
      </c>
      <c r="E212" s="1065"/>
      <c r="F212" s="1065"/>
      <c r="G212" s="1065"/>
      <c r="H212" s="1065"/>
      <c r="I212" s="1065"/>
      <c r="J212" s="1066" t="s">
        <v>698</v>
      </c>
      <c r="K212" s="1066"/>
      <c r="L212" s="1067">
        <v>7.7000000000000002E-3</v>
      </c>
      <c r="M212" s="1067"/>
      <c r="N212" s="1067"/>
      <c r="O212" s="1068">
        <v>197.94</v>
      </c>
      <c r="P212" s="1068"/>
      <c r="Q212" s="1068"/>
      <c r="R212" s="1068"/>
      <c r="S212" s="996">
        <f t="shared" si="6"/>
        <v>1.524138</v>
      </c>
      <c r="T212" s="963"/>
      <c r="U212" s="963"/>
      <c r="V212" s="964"/>
    </row>
    <row r="213" spans="2:22" s="508" customFormat="1" ht="17.45" customHeight="1">
      <c r="B213" s="518"/>
      <c r="C213" s="519" t="s">
        <v>714</v>
      </c>
      <c r="D213" s="1065" t="s">
        <v>697</v>
      </c>
      <c r="E213" s="1065"/>
      <c r="F213" s="1065"/>
      <c r="G213" s="1065"/>
      <c r="H213" s="1065"/>
      <c r="I213" s="1065"/>
      <c r="J213" s="1066" t="s">
        <v>706</v>
      </c>
      <c r="K213" s="1066"/>
      <c r="L213" s="1067">
        <v>8.3000000000000001E-3</v>
      </c>
      <c r="M213" s="1067"/>
      <c r="N213" s="1067"/>
      <c r="O213" s="1068">
        <v>62.66</v>
      </c>
      <c r="P213" s="1068"/>
      <c r="Q213" s="1068"/>
      <c r="R213" s="1068"/>
      <c r="S213" s="996">
        <f t="shared" si="6"/>
        <v>0.52007799999999993</v>
      </c>
      <c r="T213" s="963"/>
      <c r="U213" s="963"/>
      <c r="V213" s="964"/>
    </row>
    <row r="214" spans="2:22" s="508" customFormat="1" ht="17.45" customHeight="1">
      <c r="B214" s="518"/>
      <c r="C214" s="519" t="s">
        <v>721</v>
      </c>
      <c r="D214" s="1065" t="s">
        <v>722</v>
      </c>
      <c r="E214" s="1065"/>
      <c r="F214" s="1065"/>
      <c r="G214" s="1065"/>
      <c r="H214" s="1065"/>
      <c r="I214" s="1065"/>
      <c r="J214" s="1066" t="s">
        <v>698</v>
      </c>
      <c r="K214" s="1066"/>
      <c r="L214" s="1067">
        <v>7.4000000000000003E-3</v>
      </c>
      <c r="M214" s="1067"/>
      <c r="N214" s="1067"/>
      <c r="O214" s="1068">
        <v>173.8</v>
      </c>
      <c r="P214" s="1068"/>
      <c r="Q214" s="1068"/>
      <c r="R214" s="1068"/>
      <c r="S214" s="996">
        <f t="shared" si="6"/>
        <v>1.2861200000000002</v>
      </c>
      <c r="T214" s="963"/>
      <c r="U214" s="963"/>
      <c r="V214" s="964"/>
    </row>
    <row r="215" spans="2:22" s="508" customFormat="1" ht="17.45" customHeight="1">
      <c r="B215" s="518"/>
      <c r="C215" s="519" t="s">
        <v>634</v>
      </c>
      <c r="D215" s="1065" t="s">
        <v>635</v>
      </c>
      <c r="E215" s="1065"/>
      <c r="F215" s="1065"/>
      <c r="G215" s="1065"/>
      <c r="H215" s="1065"/>
      <c r="I215" s="1065"/>
      <c r="J215" s="1066" t="s">
        <v>633</v>
      </c>
      <c r="K215" s="1066"/>
      <c r="L215" s="1067">
        <v>5.5800000000000002E-2</v>
      </c>
      <c r="M215" s="1067"/>
      <c r="N215" s="1067"/>
      <c r="O215" s="1068">
        <v>16.829999999999998</v>
      </c>
      <c r="P215" s="1068"/>
      <c r="Q215" s="1068"/>
      <c r="R215" s="1068"/>
      <c r="S215" s="996">
        <f t="shared" si="6"/>
        <v>0.93911399999999989</v>
      </c>
      <c r="T215" s="963"/>
      <c r="U215" s="963"/>
      <c r="V215" s="964"/>
    </row>
    <row r="216" spans="2:22" s="508" customFormat="1" ht="17.45" customHeight="1">
      <c r="B216" s="518"/>
      <c r="C216" s="519" t="s">
        <v>723</v>
      </c>
      <c r="D216" s="1065" t="s">
        <v>724</v>
      </c>
      <c r="E216" s="1065"/>
      <c r="F216" s="1065"/>
      <c r="G216" s="1065"/>
      <c r="H216" s="1065"/>
      <c r="I216" s="1065"/>
      <c r="J216" s="1066" t="s">
        <v>698</v>
      </c>
      <c r="K216" s="1066"/>
      <c r="L216" s="1067">
        <v>2.7000000000000001E-3</v>
      </c>
      <c r="M216" s="1067"/>
      <c r="N216" s="1067"/>
      <c r="O216" s="1068">
        <v>107.33</v>
      </c>
      <c r="P216" s="1068"/>
      <c r="Q216" s="1068"/>
      <c r="R216" s="1068"/>
      <c r="S216" s="996">
        <f t="shared" si="6"/>
        <v>0.28979100000000002</v>
      </c>
      <c r="T216" s="963"/>
      <c r="U216" s="963"/>
      <c r="V216" s="964"/>
    </row>
    <row r="217" spans="2:22" s="508" customFormat="1" ht="17.45" customHeight="1">
      <c r="B217" s="518"/>
      <c r="C217" s="519" t="s">
        <v>725</v>
      </c>
      <c r="D217" s="1065" t="s">
        <v>724</v>
      </c>
      <c r="E217" s="1065"/>
      <c r="F217" s="1065"/>
      <c r="G217" s="1065"/>
      <c r="H217" s="1065"/>
      <c r="I217" s="1065"/>
      <c r="J217" s="1066" t="s">
        <v>706</v>
      </c>
      <c r="K217" s="1066"/>
      <c r="L217" s="1067">
        <v>1.3299999999999999E-2</v>
      </c>
      <c r="M217" s="1067"/>
      <c r="N217" s="1067"/>
      <c r="O217" s="1068">
        <v>29.82</v>
      </c>
      <c r="P217" s="1068"/>
      <c r="Q217" s="1068"/>
      <c r="R217" s="1068"/>
      <c r="S217" s="996">
        <f t="shared" si="6"/>
        <v>0.39660599999999996</v>
      </c>
      <c r="T217" s="963"/>
      <c r="U217" s="963"/>
      <c r="V217" s="964"/>
    </row>
    <row r="218" spans="2:22" s="508" customFormat="1" ht="17.45" customHeight="1">
      <c r="B218" s="518"/>
      <c r="C218" s="519">
        <v>93244</v>
      </c>
      <c r="D218" s="1065" t="s">
        <v>722</v>
      </c>
      <c r="E218" s="1065"/>
      <c r="F218" s="1065"/>
      <c r="G218" s="1065"/>
      <c r="H218" s="1065"/>
      <c r="I218" s="1065"/>
      <c r="J218" s="1066" t="s">
        <v>706</v>
      </c>
      <c r="K218" s="1066"/>
      <c r="L218" s="1067">
        <v>8.6E-3</v>
      </c>
      <c r="M218" s="1067"/>
      <c r="N218" s="1067"/>
      <c r="O218" s="1068">
        <v>49.89</v>
      </c>
      <c r="P218" s="1068"/>
      <c r="Q218" s="1068"/>
      <c r="R218" s="1068"/>
      <c r="S218" s="996">
        <f t="shared" si="6"/>
        <v>0.42905399999999999</v>
      </c>
      <c r="T218" s="963"/>
      <c r="U218" s="963"/>
      <c r="V218" s="964"/>
    </row>
    <row r="219" spans="2:22" s="508" customFormat="1" ht="17.45" customHeight="1">
      <c r="B219" s="518"/>
      <c r="C219" s="519" t="s">
        <v>727</v>
      </c>
      <c r="D219" s="1065" t="s">
        <v>728</v>
      </c>
      <c r="E219" s="1065"/>
      <c r="F219" s="1065"/>
      <c r="G219" s="1065"/>
      <c r="H219" s="1065"/>
      <c r="I219" s="1065"/>
      <c r="J219" s="1066" t="s">
        <v>698</v>
      </c>
      <c r="K219" s="1066"/>
      <c r="L219" s="1067">
        <v>1E-3</v>
      </c>
      <c r="M219" s="1067"/>
      <c r="N219" s="1067"/>
      <c r="O219" s="1068">
        <v>190.44</v>
      </c>
      <c r="P219" s="1068"/>
      <c r="Q219" s="1068"/>
      <c r="R219" s="1068"/>
      <c r="S219" s="996">
        <f t="shared" si="6"/>
        <v>0.19044</v>
      </c>
      <c r="T219" s="963"/>
      <c r="U219" s="963"/>
      <c r="V219" s="964"/>
    </row>
    <row r="220" spans="2:22" s="508" customFormat="1" ht="17.45" customHeight="1">
      <c r="B220" s="520"/>
      <c r="C220" s="521" t="s">
        <v>729</v>
      </c>
      <c r="D220" s="1069" t="s">
        <v>728</v>
      </c>
      <c r="E220" s="1069"/>
      <c r="F220" s="1069"/>
      <c r="G220" s="1069"/>
      <c r="H220" s="1069"/>
      <c r="I220" s="1069"/>
      <c r="J220" s="1070" t="s">
        <v>706</v>
      </c>
      <c r="K220" s="1070"/>
      <c r="L220" s="1071">
        <v>1.4999999999999999E-2</v>
      </c>
      <c r="M220" s="1071"/>
      <c r="N220" s="1071"/>
      <c r="O220" s="1072">
        <v>70.06</v>
      </c>
      <c r="P220" s="1072"/>
      <c r="Q220" s="1072"/>
      <c r="R220" s="1072"/>
      <c r="S220" s="1024">
        <f t="shared" si="6"/>
        <v>1.0508999999999999</v>
      </c>
      <c r="T220" s="1025"/>
      <c r="U220" s="1025"/>
      <c r="V220" s="1026"/>
    </row>
    <row r="221" spans="2:22" s="508" customFormat="1" ht="17.45" customHeight="1">
      <c r="B221" s="965"/>
      <c r="C221" s="965"/>
      <c r="D221" s="965"/>
      <c r="E221" s="965"/>
      <c r="F221" s="965"/>
      <c r="G221" s="965"/>
      <c r="H221" s="965"/>
      <c r="I221" s="966" t="s">
        <v>645</v>
      </c>
      <c r="J221" s="966"/>
      <c r="K221" s="966"/>
      <c r="L221" s="966"/>
      <c r="M221" s="966"/>
      <c r="N221" s="966"/>
      <c r="O221" s="966"/>
      <c r="P221" s="966"/>
      <c r="Q221" s="966"/>
      <c r="R221" s="966"/>
      <c r="S221" s="1029">
        <f>SUM(S208:V220)</f>
        <v>8.8579279999999994</v>
      </c>
      <c r="T221" s="1029"/>
      <c r="U221" s="1029"/>
      <c r="V221" s="1029"/>
    </row>
    <row r="222" spans="2:22" s="508" customFormat="1" ht="17.45" customHeight="1">
      <c r="B222" s="967"/>
      <c r="C222" s="967"/>
      <c r="D222" s="967"/>
      <c r="E222" s="967"/>
      <c r="F222" s="967"/>
      <c r="G222" s="967"/>
      <c r="H222" s="967"/>
      <c r="I222" s="967"/>
      <c r="J222" s="967"/>
      <c r="K222" s="967"/>
      <c r="L222" s="967"/>
      <c r="M222" s="967"/>
      <c r="N222" s="967"/>
      <c r="O222" s="967"/>
      <c r="P222" s="967"/>
      <c r="Q222" s="967"/>
      <c r="R222" s="967"/>
      <c r="S222" s="967"/>
      <c r="T222" s="967"/>
      <c r="U222" s="967"/>
      <c r="V222" s="967"/>
    </row>
    <row r="223" spans="2:22" s="508" customFormat="1" ht="17.45" customHeight="1">
      <c r="B223" s="968"/>
      <c r="C223" s="968"/>
      <c r="D223" s="968"/>
      <c r="E223" s="968"/>
      <c r="F223" s="968"/>
      <c r="G223" s="968"/>
      <c r="H223" s="968"/>
      <c r="I223" s="969" t="s">
        <v>646</v>
      </c>
      <c r="J223" s="969"/>
      <c r="K223" s="969"/>
      <c r="L223" s="969"/>
      <c r="M223" s="969"/>
      <c r="N223" s="969"/>
      <c r="O223" s="969"/>
      <c r="P223" s="969"/>
      <c r="Q223" s="969"/>
      <c r="R223" s="969"/>
      <c r="S223" s="963">
        <f>S221</f>
        <v>8.8579279999999994</v>
      </c>
      <c r="T223" s="963"/>
      <c r="U223" s="963"/>
      <c r="V223" s="964"/>
    </row>
    <row r="224" spans="2:22" s="508" customFormat="1" ht="17.45" customHeight="1">
      <c r="B224" s="968"/>
      <c r="C224" s="968"/>
      <c r="D224" s="968"/>
      <c r="E224" s="968"/>
      <c r="F224" s="968"/>
      <c r="G224" s="968"/>
      <c r="H224" s="969" t="s">
        <v>647</v>
      </c>
      <c r="I224" s="969"/>
      <c r="J224" s="969"/>
      <c r="K224" s="969"/>
      <c r="L224" s="969"/>
      <c r="M224" s="970">
        <v>20.7</v>
      </c>
      <c r="N224" s="970"/>
      <c r="O224" s="970"/>
      <c r="P224" s="969" t="s">
        <v>648</v>
      </c>
      <c r="Q224" s="969"/>
      <c r="R224" s="969"/>
      <c r="S224" s="963">
        <f>S223*M224%</f>
        <v>1.8335910959999997</v>
      </c>
      <c r="T224" s="963"/>
      <c r="U224" s="963"/>
      <c r="V224" s="964"/>
    </row>
    <row r="225" spans="2:22" s="508" customFormat="1" ht="17.45" customHeight="1">
      <c r="B225" s="968"/>
      <c r="C225" s="968"/>
      <c r="D225" s="968"/>
      <c r="E225" s="968"/>
      <c r="F225" s="968"/>
      <c r="G225" s="968"/>
      <c r="H225" s="968"/>
      <c r="I225" s="969" t="s">
        <v>649</v>
      </c>
      <c r="J225" s="969"/>
      <c r="K225" s="969"/>
      <c r="L225" s="969"/>
      <c r="M225" s="969"/>
      <c r="N225" s="969"/>
      <c r="O225" s="969"/>
      <c r="P225" s="969"/>
      <c r="Q225" s="969"/>
      <c r="R225" s="969"/>
      <c r="S225" s="963">
        <f>S223+S224</f>
        <v>10.691519095999999</v>
      </c>
      <c r="T225" s="963"/>
      <c r="U225" s="963"/>
      <c r="V225" s="964"/>
    </row>
    <row r="226" spans="2:22" s="508" customFormat="1" ht="144.94999999999999" customHeight="1">
      <c r="B226" s="522"/>
      <c r="C226" s="523"/>
      <c r="D226" s="524"/>
      <c r="E226" s="524"/>
      <c r="F226" s="524"/>
      <c r="G226" s="524"/>
      <c r="H226" s="524"/>
      <c r="I226" s="524"/>
      <c r="J226" s="524"/>
      <c r="K226" s="523"/>
      <c r="L226" s="523"/>
      <c r="M226" s="523"/>
      <c r="N226" s="523"/>
      <c r="O226" s="523"/>
      <c r="P226" s="523"/>
      <c r="Q226" s="523"/>
      <c r="R226" s="523"/>
      <c r="S226" s="523"/>
      <c r="T226" s="523"/>
      <c r="U226" s="523"/>
      <c r="V226" s="525"/>
    </row>
    <row r="227" spans="2:22" s="508" customFormat="1" ht="144.94999999999999" customHeight="1">
      <c r="B227" s="522"/>
      <c r="C227" s="523"/>
      <c r="D227" s="524"/>
      <c r="E227" s="524"/>
      <c r="F227" s="524"/>
      <c r="G227" s="524"/>
      <c r="H227" s="524"/>
      <c r="I227" s="524"/>
      <c r="J227" s="524"/>
      <c r="K227" s="523"/>
      <c r="L227" s="523"/>
      <c r="M227" s="523"/>
      <c r="N227" s="523"/>
      <c r="O227" s="523"/>
      <c r="P227" s="523"/>
      <c r="Q227" s="523"/>
      <c r="R227" s="523"/>
      <c r="S227" s="523"/>
      <c r="T227" s="523"/>
      <c r="U227" s="523"/>
      <c r="V227" s="525"/>
    </row>
    <row r="228" spans="2:22" s="508" customFormat="1" ht="144.94999999999999" customHeight="1">
      <c r="B228" s="512"/>
      <c r="C228" s="513"/>
      <c r="D228" s="526"/>
      <c r="E228" s="526"/>
      <c r="F228" s="526"/>
      <c r="G228" s="526"/>
      <c r="H228" s="526"/>
      <c r="I228" s="526"/>
      <c r="J228" s="526"/>
      <c r="K228" s="513"/>
      <c r="L228" s="513"/>
      <c r="M228" s="513"/>
      <c r="N228" s="513"/>
      <c r="O228" s="513"/>
      <c r="P228" s="513"/>
      <c r="Q228" s="513"/>
      <c r="R228" s="513"/>
      <c r="S228" s="513"/>
      <c r="T228" s="513"/>
      <c r="U228" s="513"/>
      <c r="V228" s="515"/>
    </row>
    <row r="229" spans="2:22" s="508" customFormat="1" ht="17.45" customHeight="1">
      <c r="B229" s="530"/>
      <c r="C229" s="999" t="s">
        <v>617</v>
      </c>
      <c r="D229" s="999"/>
      <c r="E229" s="999"/>
      <c r="F229" s="505"/>
      <c r="G229" s="1000" t="s">
        <v>821</v>
      </c>
      <c r="H229" s="1000"/>
      <c r="I229" s="1000"/>
      <c r="J229" s="1000"/>
      <c r="K229" s="1000"/>
      <c r="L229" s="1000"/>
      <c r="M229" s="506"/>
      <c r="N229" s="1000" t="s">
        <v>618</v>
      </c>
      <c r="O229" s="1000"/>
      <c r="P229" s="1000"/>
      <c r="Q229" s="1000"/>
      <c r="R229" s="1000"/>
      <c r="S229" s="1000"/>
      <c r="T229" s="1000"/>
      <c r="U229" s="1000"/>
      <c r="V229" s="507"/>
    </row>
    <row r="230" spans="2:22" s="508" customFormat="1" ht="17.45" customHeight="1">
      <c r="B230" s="509"/>
      <c r="C230" s="999" t="s">
        <v>619</v>
      </c>
      <c r="D230" s="999"/>
      <c r="E230" s="1030" t="s">
        <v>820</v>
      </c>
      <c r="F230" s="1030"/>
      <c r="G230" s="1030"/>
      <c r="H230" s="1030"/>
      <c r="I230" s="1030"/>
      <c r="J230" s="1030"/>
      <c r="K230" s="1005" t="s">
        <v>620</v>
      </c>
      <c r="L230" s="1005"/>
      <c r="M230" s="510"/>
      <c r="N230" s="1006" t="s">
        <v>819</v>
      </c>
      <c r="O230" s="1006"/>
      <c r="P230" s="1006"/>
      <c r="Q230" s="510"/>
      <c r="R230" s="510"/>
      <c r="S230" s="510"/>
      <c r="T230" s="510"/>
      <c r="U230" s="510"/>
      <c r="V230" s="511"/>
    </row>
    <row r="231" spans="2:22" s="508" customFormat="1" ht="17.45" customHeight="1">
      <c r="B231" s="512"/>
      <c r="C231" s="999"/>
      <c r="D231" s="999"/>
      <c r="E231" s="1030"/>
      <c r="F231" s="1030"/>
      <c r="G231" s="1030"/>
      <c r="H231" s="1030"/>
      <c r="I231" s="1030"/>
      <c r="J231" s="1030"/>
      <c r="K231" s="1007" t="s">
        <v>622</v>
      </c>
      <c r="L231" s="1007"/>
      <c r="M231" s="513"/>
      <c r="N231" s="1008">
        <v>1</v>
      </c>
      <c r="O231" s="1008"/>
      <c r="P231" s="1008"/>
      <c r="Q231" s="513"/>
      <c r="R231" s="1007" t="s">
        <v>623</v>
      </c>
      <c r="S231" s="1007"/>
      <c r="T231" s="513"/>
      <c r="U231" s="514" t="s">
        <v>630</v>
      </c>
      <c r="V231" s="515"/>
    </row>
    <row r="232" spans="2:22" s="508" customFormat="1" ht="17.45" customHeight="1">
      <c r="B232" s="997" t="s">
        <v>625</v>
      </c>
      <c r="C232" s="997"/>
      <c r="D232" s="998" t="s">
        <v>259</v>
      </c>
      <c r="E232" s="998"/>
      <c r="F232" s="998"/>
      <c r="G232" s="998"/>
      <c r="H232" s="998"/>
      <c r="I232" s="998"/>
      <c r="J232" s="997" t="s">
        <v>266</v>
      </c>
      <c r="K232" s="997"/>
      <c r="L232" s="997" t="s">
        <v>270</v>
      </c>
      <c r="M232" s="997"/>
      <c r="N232" s="997"/>
      <c r="O232" s="998" t="s">
        <v>626</v>
      </c>
      <c r="P232" s="998"/>
      <c r="Q232" s="998"/>
      <c r="R232" s="998"/>
      <c r="S232" s="998" t="s">
        <v>627</v>
      </c>
      <c r="T232" s="998"/>
      <c r="U232" s="998"/>
      <c r="V232" s="998"/>
    </row>
    <row r="233" spans="2:22" s="508" customFormat="1" ht="17.45" customHeight="1">
      <c r="B233" s="516"/>
      <c r="C233" s="517" t="s">
        <v>711</v>
      </c>
      <c r="D233" s="1060" t="s">
        <v>712</v>
      </c>
      <c r="E233" s="1060"/>
      <c r="F233" s="1060"/>
      <c r="G233" s="1060"/>
      <c r="H233" s="1060"/>
      <c r="I233" s="1060"/>
      <c r="J233" s="1061" t="s">
        <v>698</v>
      </c>
      <c r="K233" s="1061"/>
      <c r="L233" s="1062">
        <v>6.4000000000000003E-3</v>
      </c>
      <c r="M233" s="1062"/>
      <c r="N233" s="1062"/>
      <c r="O233" s="1063">
        <v>269.25</v>
      </c>
      <c r="P233" s="1063"/>
      <c r="Q233" s="1063"/>
      <c r="R233" s="1063"/>
      <c r="S233" s="1064">
        <f>L233*O233</f>
        <v>1.7232000000000001</v>
      </c>
      <c r="T233" s="1064"/>
      <c r="U233" s="1064"/>
      <c r="V233" s="1064"/>
    </row>
    <row r="234" spans="2:22" s="508" customFormat="1" ht="17.45" customHeight="1">
      <c r="B234" s="518"/>
      <c r="C234" s="519" t="s">
        <v>713</v>
      </c>
      <c r="D234" s="1065" t="s">
        <v>712</v>
      </c>
      <c r="E234" s="1065"/>
      <c r="F234" s="1065"/>
      <c r="G234" s="1065"/>
      <c r="H234" s="1065"/>
      <c r="I234" s="1065"/>
      <c r="J234" s="1066" t="s">
        <v>706</v>
      </c>
      <c r="K234" s="1066"/>
      <c r="L234" s="1067">
        <v>9.4999999999999998E-3</v>
      </c>
      <c r="M234" s="1067"/>
      <c r="N234" s="1067"/>
      <c r="O234" s="1068">
        <v>46.8</v>
      </c>
      <c r="P234" s="1068"/>
      <c r="Q234" s="1068"/>
      <c r="R234" s="1068"/>
      <c r="S234" s="996">
        <f t="shared" ref="S234:S245" si="7">L234*O234</f>
        <v>0.44459999999999994</v>
      </c>
      <c r="T234" s="963"/>
      <c r="U234" s="963"/>
      <c r="V234" s="964"/>
    </row>
    <row r="235" spans="2:22" s="508" customFormat="1" ht="17.45" customHeight="1">
      <c r="B235" s="518"/>
      <c r="C235" s="519">
        <v>5921</v>
      </c>
      <c r="D235" s="1065" t="s">
        <v>719</v>
      </c>
      <c r="E235" s="1065"/>
      <c r="F235" s="1065"/>
      <c r="G235" s="1065"/>
      <c r="H235" s="1065"/>
      <c r="I235" s="1065"/>
      <c r="J235" s="1066" t="s">
        <v>698</v>
      </c>
      <c r="K235" s="1066"/>
      <c r="L235" s="1067">
        <v>2.7000000000000001E-3</v>
      </c>
      <c r="M235" s="1067"/>
      <c r="N235" s="1067"/>
      <c r="O235" s="1068">
        <v>5.83</v>
      </c>
      <c r="P235" s="1068"/>
      <c r="Q235" s="1068"/>
      <c r="R235" s="1068"/>
      <c r="S235" s="996">
        <f t="shared" si="7"/>
        <v>1.5741000000000002E-2</v>
      </c>
      <c r="T235" s="963"/>
      <c r="U235" s="963"/>
      <c r="V235" s="964"/>
    </row>
    <row r="236" spans="2:22" s="508" customFormat="1" ht="17.45" customHeight="1">
      <c r="B236" s="518"/>
      <c r="C236" s="519" t="s">
        <v>720</v>
      </c>
      <c r="D236" s="1065" t="s">
        <v>719</v>
      </c>
      <c r="E236" s="1065"/>
      <c r="F236" s="1065"/>
      <c r="G236" s="1065"/>
      <c r="H236" s="1065"/>
      <c r="I236" s="1065"/>
      <c r="J236" s="1066" t="s">
        <v>706</v>
      </c>
      <c r="K236" s="1066"/>
      <c r="L236" s="1067">
        <v>1.3299999999999999E-2</v>
      </c>
      <c r="M236" s="1067"/>
      <c r="N236" s="1067"/>
      <c r="O236" s="1068">
        <v>3.62</v>
      </c>
      <c r="P236" s="1068"/>
      <c r="Q236" s="1068"/>
      <c r="R236" s="1068"/>
      <c r="S236" s="996">
        <f t="shared" si="7"/>
        <v>4.8146000000000001E-2</v>
      </c>
      <c r="T236" s="963"/>
      <c r="U236" s="963"/>
      <c r="V236" s="964"/>
    </row>
    <row r="237" spans="2:22" s="508" customFormat="1" ht="17.45" customHeight="1">
      <c r="B237" s="518"/>
      <c r="C237" s="519" t="s">
        <v>696</v>
      </c>
      <c r="D237" s="1065" t="s">
        <v>697</v>
      </c>
      <c r="E237" s="1065"/>
      <c r="F237" s="1065"/>
      <c r="G237" s="1065"/>
      <c r="H237" s="1065"/>
      <c r="I237" s="1065"/>
      <c r="J237" s="1066" t="s">
        <v>698</v>
      </c>
      <c r="K237" s="1066"/>
      <c r="L237" s="1067">
        <v>7.7000000000000002E-3</v>
      </c>
      <c r="M237" s="1067"/>
      <c r="N237" s="1067"/>
      <c r="O237" s="1068">
        <v>197.94</v>
      </c>
      <c r="P237" s="1068"/>
      <c r="Q237" s="1068"/>
      <c r="R237" s="1068"/>
      <c r="S237" s="996">
        <f t="shared" si="7"/>
        <v>1.524138</v>
      </c>
      <c r="T237" s="963"/>
      <c r="U237" s="963"/>
      <c r="V237" s="964"/>
    </row>
    <row r="238" spans="2:22" s="508" customFormat="1" ht="17.45" customHeight="1">
      <c r="B238" s="518"/>
      <c r="C238" s="519" t="s">
        <v>714</v>
      </c>
      <c r="D238" s="1065" t="s">
        <v>697</v>
      </c>
      <c r="E238" s="1065"/>
      <c r="F238" s="1065"/>
      <c r="G238" s="1065"/>
      <c r="H238" s="1065"/>
      <c r="I238" s="1065"/>
      <c r="J238" s="1066" t="s">
        <v>706</v>
      </c>
      <c r="K238" s="1066"/>
      <c r="L238" s="1067">
        <v>8.3000000000000001E-3</v>
      </c>
      <c r="M238" s="1067"/>
      <c r="N238" s="1067"/>
      <c r="O238" s="1068">
        <v>62.66</v>
      </c>
      <c r="P238" s="1068"/>
      <c r="Q238" s="1068"/>
      <c r="R238" s="1068"/>
      <c r="S238" s="996">
        <f t="shared" si="7"/>
        <v>0.52007799999999993</v>
      </c>
      <c r="T238" s="963"/>
      <c r="U238" s="963"/>
      <c r="V238" s="964"/>
    </row>
    <row r="239" spans="2:22" s="508" customFormat="1" ht="17.45" customHeight="1">
      <c r="B239" s="518"/>
      <c r="C239" s="519" t="s">
        <v>721</v>
      </c>
      <c r="D239" s="1065" t="s">
        <v>722</v>
      </c>
      <c r="E239" s="1065"/>
      <c r="F239" s="1065"/>
      <c r="G239" s="1065"/>
      <c r="H239" s="1065"/>
      <c r="I239" s="1065"/>
      <c r="J239" s="1066" t="s">
        <v>698</v>
      </c>
      <c r="K239" s="1066"/>
      <c r="L239" s="1067">
        <v>7.4000000000000003E-3</v>
      </c>
      <c r="M239" s="1067"/>
      <c r="N239" s="1067"/>
      <c r="O239" s="1068">
        <v>173.8</v>
      </c>
      <c r="P239" s="1068"/>
      <c r="Q239" s="1068"/>
      <c r="R239" s="1068"/>
      <c r="S239" s="996">
        <f t="shared" si="7"/>
        <v>1.2861200000000002</v>
      </c>
      <c r="T239" s="963"/>
      <c r="U239" s="963"/>
      <c r="V239" s="964"/>
    </row>
    <row r="240" spans="2:22" s="508" customFormat="1" ht="17.45" customHeight="1">
      <c r="B240" s="518"/>
      <c r="C240" s="519" t="s">
        <v>634</v>
      </c>
      <c r="D240" s="1065" t="s">
        <v>635</v>
      </c>
      <c r="E240" s="1065"/>
      <c r="F240" s="1065"/>
      <c r="G240" s="1065"/>
      <c r="H240" s="1065"/>
      <c r="I240" s="1065"/>
      <c r="J240" s="1066" t="s">
        <v>633</v>
      </c>
      <c r="K240" s="1066"/>
      <c r="L240" s="1067">
        <v>5.5800000000000002E-2</v>
      </c>
      <c r="M240" s="1067"/>
      <c r="N240" s="1067"/>
      <c r="O240" s="1068">
        <v>16.829999999999998</v>
      </c>
      <c r="P240" s="1068"/>
      <c r="Q240" s="1068"/>
      <c r="R240" s="1068"/>
      <c r="S240" s="996">
        <f t="shared" si="7"/>
        <v>0.93911399999999989</v>
      </c>
      <c r="T240" s="963"/>
      <c r="U240" s="963"/>
      <c r="V240" s="964"/>
    </row>
    <row r="241" spans="2:22" s="508" customFormat="1" ht="17.45" customHeight="1">
      <c r="B241" s="518"/>
      <c r="C241" s="519" t="s">
        <v>723</v>
      </c>
      <c r="D241" s="1065" t="s">
        <v>724</v>
      </c>
      <c r="E241" s="1065"/>
      <c r="F241" s="1065"/>
      <c r="G241" s="1065"/>
      <c r="H241" s="1065"/>
      <c r="I241" s="1065"/>
      <c r="J241" s="1066" t="s">
        <v>698</v>
      </c>
      <c r="K241" s="1066"/>
      <c r="L241" s="1067">
        <v>2.7000000000000001E-3</v>
      </c>
      <c r="M241" s="1067"/>
      <c r="N241" s="1067"/>
      <c r="O241" s="1068">
        <v>107.33</v>
      </c>
      <c r="P241" s="1068"/>
      <c r="Q241" s="1068"/>
      <c r="R241" s="1068"/>
      <c r="S241" s="996">
        <f t="shared" si="7"/>
        <v>0.28979100000000002</v>
      </c>
      <c r="T241" s="963"/>
      <c r="U241" s="963"/>
      <c r="V241" s="964"/>
    </row>
    <row r="242" spans="2:22" s="508" customFormat="1" ht="17.45" customHeight="1">
      <c r="B242" s="518"/>
      <c r="C242" s="519" t="s">
        <v>725</v>
      </c>
      <c r="D242" s="1065" t="s">
        <v>724</v>
      </c>
      <c r="E242" s="1065"/>
      <c r="F242" s="1065"/>
      <c r="G242" s="1065"/>
      <c r="H242" s="1065"/>
      <c r="I242" s="1065"/>
      <c r="J242" s="1066" t="s">
        <v>706</v>
      </c>
      <c r="K242" s="1066"/>
      <c r="L242" s="1067">
        <v>1.3299999999999999E-2</v>
      </c>
      <c r="M242" s="1067"/>
      <c r="N242" s="1067"/>
      <c r="O242" s="1068">
        <v>29.82</v>
      </c>
      <c r="P242" s="1068"/>
      <c r="Q242" s="1068"/>
      <c r="R242" s="1068"/>
      <c r="S242" s="996">
        <f t="shared" si="7"/>
        <v>0.39660599999999996</v>
      </c>
      <c r="T242" s="963"/>
      <c r="U242" s="963"/>
      <c r="V242" s="964"/>
    </row>
    <row r="243" spans="2:22" s="508" customFormat="1" ht="17.45" customHeight="1">
      <c r="B243" s="518"/>
      <c r="C243" s="519" t="s">
        <v>726</v>
      </c>
      <c r="D243" s="1065" t="s">
        <v>722</v>
      </c>
      <c r="E243" s="1065"/>
      <c r="F243" s="1065"/>
      <c r="G243" s="1065"/>
      <c r="H243" s="1065"/>
      <c r="I243" s="1065"/>
      <c r="J243" s="1066" t="s">
        <v>706</v>
      </c>
      <c r="K243" s="1066"/>
      <c r="L243" s="1067">
        <v>8.6E-3</v>
      </c>
      <c r="M243" s="1067"/>
      <c r="N243" s="1067"/>
      <c r="O243" s="1068">
        <v>49.89</v>
      </c>
      <c r="P243" s="1068"/>
      <c r="Q243" s="1068"/>
      <c r="R243" s="1068"/>
      <c r="S243" s="996">
        <f t="shared" si="7"/>
        <v>0.42905399999999999</v>
      </c>
      <c r="T243" s="963"/>
      <c r="U243" s="963"/>
      <c r="V243" s="964"/>
    </row>
    <row r="244" spans="2:22" s="508" customFormat="1" ht="17.45" customHeight="1">
      <c r="B244" s="518"/>
      <c r="C244" s="519" t="s">
        <v>727</v>
      </c>
      <c r="D244" s="1065" t="s">
        <v>728</v>
      </c>
      <c r="E244" s="1065"/>
      <c r="F244" s="1065"/>
      <c r="G244" s="1065"/>
      <c r="H244" s="1065"/>
      <c r="I244" s="1065"/>
      <c r="J244" s="1066" t="s">
        <v>698</v>
      </c>
      <c r="K244" s="1066"/>
      <c r="L244" s="1067">
        <v>1E-3</v>
      </c>
      <c r="M244" s="1067"/>
      <c r="N244" s="1067"/>
      <c r="O244" s="1068">
        <v>190.44</v>
      </c>
      <c r="P244" s="1068"/>
      <c r="Q244" s="1068"/>
      <c r="R244" s="1068"/>
      <c r="S244" s="996">
        <f t="shared" si="7"/>
        <v>0.19044</v>
      </c>
      <c r="T244" s="963"/>
      <c r="U244" s="963"/>
      <c r="V244" s="964"/>
    </row>
    <row r="245" spans="2:22" s="508" customFormat="1" ht="17.45" customHeight="1">
      <c r="B245" s="520"/>
      <c r="C245" s="521" t="s">
        <v>729</v>
      </c>
      <c r="D245" s="1069" t="s">
        <v>728</v>
      </c>
      <c r="E245" s="1069"/>
      <c r="F245" s="1069"/>
      <c r="G245" s="1069"/>
      <c r="H245" s="1069"/>
      <c r="I245" s="1069"/>
      <c r="J245" s="1070" t="s">
        <v>706</v>
      </c>
      <c r="K245" s="1070"/>
      <c r="L245" s="1071">
        <v>1.4999999999999999E-2</v>
      </c>
      <c r="M245" s="1071"/>
      <c r="N245" s="1071"/>
      <c r="O245" s="1072">
        <v>70.06</v>
      </c>
      <c r="P245" s="1072"/>
      <c r="Q245" s="1072"/>
      <c r="R245" s="1072"/>
      <c r="S245" s="1024">
        <f t="shared" si="7"/>
        <v>1.0508999999999999</v>
      </c>
      <c r="T245" s="1025"/>
      <c r="U245" s="1025"/>
      <c r="V245" s="1026"/>
    </row>
    <row r="246" spans="2:22" s="508" customFormat="1" ht="17.45" customHeight="1">
      <c r="B246" s="965"/>
      <c r="C246" s="965"/>
      <c r="D246" s="965"/>
      <c r="E246" s="965"/>
      <c r="F246" s="965"/>
      <c r="G246" s="965"/>
      <c r="H246" s="965"/>
      <c r="I246" s="966" t="s">
        <v>645</v>
      </c>
      <c r="J246" s="966"/>
      <c r="K246" s="966"/>
      <c r="L246" s="966"/>
      <c r="M246" s="966"/>
      <c r="N246" s="966"/>
      <c r="O246" s="966"/>
      <c r="P246" s="966"/>
      <c r="Q246" s="966"/>
      <c r="R246" s="966"/>
      <c r="S246" s="1029">
        <f>SUM(S233:V245)</f>
        <v>8.8579279999999994</v>
      </c>
      <c r="T246" s="1029"/>
      <c r="U246" s="1029"/>
      <c r="V246" s="1029"/>
    </row>
    <row r="247" spans="2:22" s="508" customFormat="1" ht="17.45" customHeight="1">
      <c r="B247" s="967"/>
      <c r="C247" s="967"/>
      <c r="D247" s="967"/>
      <c r="E247" s="967"/>
      <c r="F247" s="967"/>
      <c r="G247" s="967"/>
      <c r="H247" s="967"/>
      <c r="I247" s="967"/>
      <c r="J247" s="967"/>
      <c r="K247" s="967"/>
      <c r="L247" s="967"/>
      <c r="M247" s="967"/>
      <c r="N247" s="967"/>
      <c r="O247" s="967"/>
      <c r="P247" s="967"/>
      <c r="Q247" s="967"/>
      <c r="R247" s="967"/>
      <c r="S247" s="967"/>
      <c r="T247" s="967"/>
      <c r="U247" s="967"/>
      <c r="V247" s="967"/>
    </row>
    <row r="248" spans="2:22" s="508" customFormat="1" ht="17.45" customHeight="1">
      <c r="B248" s="968"/>
      <c r="C248" s="968"/>
      <c r="D248" s="968"/>
      <c r="E248" s="968"/>
      <c r="F248" s="968"/>
      <c r="G248" s="968"/>
      <c r="H248" s="968"/>
      <c r="I248" s="969" t="s">
        <v>646</v>
      </c>
      <c r="J248" s="969"/>
      <c r="K248" s="969"/>
      <c r="L248" s="969"/>
      <c r="M248" s="969"/>
      <c r="N248" s="969"/>
      <c r="O248" s="969"/>
      <c r="P248" s="969"/>
      <c r="Q248" s="969"/>
      <c r="R248" s="969"/>
      <c r="S248" s="963">
        <f>S246</f>
        <v>8.8579279999999994</v>
      </c>
      <c r="T248" s="963"/>
      <c r="U248" s="963"/>
      <c r="V248" s="964"/>
    </row>
    <row r="249" spans="2:22" s="508" customFormat="1" ht="17.45" customHeight="1">
      <c r="B249" s="968"/>
      <c r="C249" s="968"/>
      <c r="D249" s="968"/>
      <c r="E249" s="968"/>
      <c r="F249" s="968"/>
      <c r="G249" s="968"/>
      <c r="H249" s="969" t="s">
        <v>647</v>
      </c>
      <c r="I249" s="969"/>
      <c r="J249" s="969"/>
      <c r="K249" s="969"/>
      <c r="L249" s="969"/>
      <c r="M249" s="970">
        <v>20.7</v>
      </c>
      <c r="N249" s="970"/>
      <c r="O249" s="970"/>
      <c r="P249" s="969" t="s">
        <v>648</v>
      </c>
      <c r="Q249" s="969"/>
      <c r="R249" s="969"/>
      <c r="S249" s="963">
        <f>S248*M249%</f>
        <v>1.8335910959999997</v>
      </c>
      <c r="T249" s="963"/>
      <c r="U249" s="963"/>
      <c r="V249" s="964"/>
    </row>
    <row r="250" spans="2:22" s="508" customFormat="1" ht="17.45" customHeight="1">
      <c r="B250" s="968"/>
      <c r="C250" s="968"/>
      <c r="D250" s="968"/>
      <c r="E250" s="968"/>
      <c r="F250" s="968"/>
      <c r="G250" s="968"/>
      <c r="H250" s="968"/>
      <c r="I250" s="969" t="s">
        <v>649</v>
      </c>
      <c r="J250" s="969"/>
      <c r="K250" s="969"/>
      <c r="L250" s="969"/>
      <c r="M250" s="969"/>
      <c r="N250" s="969"/>
      <c r="O250" s="969"/>
      <c r="P250" s="969"/>
      <c r="Q250" s="969"/>
      <c r="R250" s="969"/>
      <c r="S250" s="963">
        <f>S248+S249</f>
        <v>10.691519095999999</v>
      </c>
      <c r="T250" s="963"/>
      <c r="U250" s="963"/>
      <c r="V250" s="964"/>
    </row>
    <row r="251" spans="2:22" s="508" customFormat="1" ht="144.94999999999999" customHeight="1">
      <c r="B251" s="522"/>
      <c r="C251" s="523"/>
      <c r="D251" s="524"/>
      <c r="E251" s="524"/>
      <c r="F251" s="524"/>
      <c r="G251" s="524"/>
      <c r="H251" s="524"/>
      <c r="I251" s="524"/>
      <c r="J251" s="524"/>
      <c r="K251" s="523"/>
      <c r="L251" s="523"/>
      <c r="M251" s="523"/>
      <c r="N251" s="523"/>
      <c r="O251" s="523"/>
      <c r="P251" s="523"/>
      <c r="Q251" s="523"/>
      <c r="R251" s="523"/>
      <c r="S251" s="523"/>
      <c r="T251" s="523"/>
      <c r="U251" s="523"/>
      <c r="V251" s="525"/>
    </row>
    <row r="252" spans="2:22" s="508" customFormat="1" ht="144.94999999999999" customHeight="1">
      <c r="B252" s="522"/>
      <c r="C252" s="523"/>
      <c r="D252" s="524"/>
      <c r="E252" s="524"/>
      <c r="F252" s="524"/>
      <c r="G252" s="524"/>
      <c r="H252" s="524"/>
      <c r="I252" s="524"/>
      <c r="J252" s="524"/>
      <c r="K252" s="523"/>
      <c r="L252" s="523"/>
      <c r="M252" s="523"/>
      <c r="N252" s="523"/>
      <c r="O252" s="523"/>
      <c r="P252" s="523"/>
      <c r="Q252" s="523"/>
      <c r="R252" s="523"/>
      <c r="S252" s="523"/>
      <c r="T252" s="523"/>
      <c r="U252" s="523"/>
      <c r="V252" s="525"/>
    </row>
    <row r="253" spans="2:22" s="508" customFormat="1" ht="144.94999999999999" customHeight="1">
      <c r="B253" s="512"/>
      <c r="C253" s="513"/>
      <c r="D253" s="526"/>
      <c r="E253" s="526"/>
      <c r="F253" s="526"/>
      <c r="G253" s="526"/>
      <c r="H253" s="526"/>
      <c r="I253" s="526"/>
      <c r="J253" s="526"/>
      <c r="K253" s="513"/>
      <c r="L253" s="513"/>
      <c r="M253" s="513"/>
      <c r="N253" s="513"/>
      <c r="O253" s="513"/>
      <c r="P253" s="513"/>
      <c r="Q253" s="513"/>
      <c r="R253" s="513"/>
      <c r="S253" s="513"/>
      <c r="T253" s="513"/>
      <c r="U253" s="513"/>
      <c r="V253" s="515"/>
    </row>
    <row r="254" spans="2:22" s="508" customFormat="1" ht="17.45" customHeight="1">
      <c r="B254" s="530"/>
      <c r="C254" s="999" t="s">
        <v>617</v>
      </c>
      <c r="D254" s="999"/>
      <c r="E254" s="999"/>
      <c r="F254" s="505"/>
      <c r="G254" s="1000" t="s">
        <v>821</v>
      </c>
      <c r="H254" s="1000"/>
      <c r="I254" s="1000"/>
      <c r="J254" s="1000"/>
      <c r="K254" s="1000"/>
      <c r="L254" s="1000"/>
      <c r="M254" s="506"/>
      <c r="N254" s="1000" t="s">
        <v>618</v>
      </c>
      <c r="O254" s="1000"/>
      <c r="P254" s="1000"/>
      <c r="Q254" s="1000"/>
      <c r="R254" s="1000"/>
      <c r="S254" s="1000"/>
      <c r="T254" s="1000"/>
      <c r="U254" s="1000"/>
      <c r="V254" s="507"/>
    </row>
    <row r="255" spans="2:22" s="508" customFormat="1" ht="17.45" customHeight="1">
      <c r="B255" s="509"/>
      <c r="C255" s="1001" t="s">
        <v>619</v>
      </c>
      <c r="D255" s="1001"/>
      <c r="E255" s="1003" t="s">
        <v>730</v>
      </c>
      <c r="F255" s="1003"/>
      <c r="G255" s="1003"/>
      <c r="H255" s="1003"/>
      <c r="I255" s="1003"/>
      <c r="J255" s="1003"/>
      <c r="K255" s="1005" t="s">
        <v>620</v>
      </c>
      <c r="L255" s="1005"/>
      <c r="M255" s="510"/>
      <c r="N255" s="1006" t="s">
        <v>731</v>
      </c>
      <c r="O255" s="1006"/>
      <c r="P255" s="1006"/>
      <c r="Q255" s="510"/>
      <c r="R255" s="510"/>
      <c r="S255" s="510"/>
      <c r="T255" s="510"/>
      <c r="U255" s="510"/>
      <c r="V255" s="511"/>
    </row>
    <row r="256" spans="2:22" s="508" customFormat="1" ht="17.45" customHeight="1">
      <c r="B256" s="512"/>
      <c r="C256" s="1002"/>
      <c r="D256" s="1002"/>
      <c r="E256" s="1004"/>
      <c r="F256" s="1004"/>
      <c r="G256" s="1004"/>
      <c r="H256" s="1004"/>
      <c r="I256" s="1004"/>
      <c r="J256" s="1004"/>
      <c r="K256" s="1007" t="s">
        <v>622</v>
      </c>
      <c r="L256" s="1007"/>
      <c r="M256" s="513"/>
      <c r="N256" s="1008">
        <v>1</v>
      </c>
      <c r="O256" s="1008"/>
      <c r="P256" s="1008"/>
      <c r="Q256" s="513"/>
      <c r="R256" s="1007" t="s">
        <v>623</v>
      </c>
      <c r="S256" s="1007"/>
      <c r="T256" s="513"/>
      <c r="U256" s="514" t="s">
        <v>624</v>
      </c>
      <c r="V256" s="515"/>
    </row>
    <row r="257" spans="2:22" s="508" customFormat="1" ht="17.45" customHeight="1">
      <c r="B257" s="997" t="s">
        <v>625</v>
      </c>
      <c r="C257" s="997"/>
      <c r="D257" s="998" t="s">
        <v>259</v>
      </c>
      <c r="E257" s="998"/>
      <c r="F257" s="998"/>
      <c r="G257" s="998"/>
      <c r="H257" s="998"/>
      <c r="I257" s="998"/>
      <c r="J257" s="997" t="s">
        <v>266</v>
      </c>
      <c r="K257" s="997"/>
      <c r="L257" s="997" t="s">
        <v>270</v>
      </c>
      <c r="M257" s="997"/>
      <c r="N257" s="997"/>
      <c r="O257" s="998" t="s">
        <v>626</v>
      </c>
      <c r="P257" s="998"/>
      <c r="Q257" s="998"/>
      <c r="R257" s="998"/>
      <c r="S257" s="998" t="s">
        <v>627</v>
      </c>
      <c r="T257" s="998"/>
      <c r="U257" s="998"/>
      <c r="V257" s="998"/>
    </row>
    <row r="258" spans="2:22" s="508" customFormat="1" ht="17.45" customHeight="1">
      <c r="B258" s="516"/>
      <c r="C258" s="517" t="s">
        <v>732</v>
      </c>
      <c r="D258" s="1060" t="s">
        <v>733</v>
      </c>
      <c r="E258" s="1060"/>
      <c r="F258" s="1060"/>
      <c r="G258" s="1060"/>
      <c r="H258" s="1060"/>
      <c r="I258" s="1060"/>
      <c r="J258" s="1061" t="s">
        <v>698</v>
      </c>
      <c r="K258" s="1061"/>
      <c r="L258" s="1062">
        <v>2E-3</v>
      </c>
      <c r="M258" s="1062"/>
      <c r="N258" s="1062"/>
      <c r="O258" s="1063">
        <v>11.18</v>
      </c>
      <c r="P258" s="1063"/>
      <c r="Q258" s="1063"/>
      <c r="R258" s="1063"/>
      <c r="S258" s="1064">
        <f>L258*O258</f>
        <v>2.2360000000000001E-2</v>
      </c>
      <c r="T258" s="1064"/>
      <c r="U258" s="1064"/>
      <c r="V258" s="1064"/>
    </row>
    <row r="259" spans="2:22" s="508" customFormat="1" ht="17.45" customHeight="1">
      <c r="B259" s="518"/>
      <c r="C259" s="519" t="s">
        <v>734</v>
      </c>
      <c r="D259" s="1065" t="s">
        <v>733</v>
      </c>
      <c r="E259" s="1065"/>
      <c r="F259" s="1065"/>
      <c r="G259" s="1065"/>
      <c r="H259" s="1065"/>
      <c r="I259" s="1065"/>
      <c r="J259" s="1066" t="s">
        <v>706</v>
      </c>
      <c r="K259" s="1066"/>
      <c r="L259" s="1067">
        <v>4.1000000000000003E-3</v>
      </c>
      <c r="M259" s="1067"/>
      <c r="N259" s="1067"/>
      <c r="O259" s="1068">
        <v>5.32</v>
      </c>
      <c r="P259" s="1068"/>
      <c r="Q259" s="1068"/>
      <c r="R259" s="1068"/>
      <c r="S259" s="996">
        <f t="shared" ref="S259:S265" si="8">L259*O259</f>
        <v>2.1812000000000002E-2</v>
      </c>
      <c r="T259" s="963"/>
      <c r="U259" s="963"/>
      <c r="V259" s="964"/>
    </row>
    <row r="260" spans="2:22" s="508" customFormat="1" ht="17.45" customHeight="1">
      <c r="B260" s="518"/>
      <c r="C260" s="519" t="s">
        <v>634</v>
      </c>
      <c r="D260" s="1065" t="s">
        <v>635</v>
      </c>
      <c r="E260" s="1065"/>
      <c r="F260" s="1065"/>
      <c r="G260" s="1065"/>
      <c r="H260" s="1065"/>
      <c r="I260" s="1065"/>
      <c r="J260" s="1066" t="s">
        <v>633</v>
      </c>
      <c r="K260" s="1066"/>
      <c r="L260" s="1067">
        <v>5.7999999999999996E-3</v>
      </c>
      <c r="M260" s="1067"/>
      <c r="N260" s="1067"/>
      <c r="O260" s="1068">
        <v>16.829999999999998</v>
      </c>
      <c r="P260" s="1068"/>
      <c r="Q260" s="1068"/>
      <c r="R260" s="1068"/>
      <c r="S260" s="996">
        <f t="shared" si="8"/>
        <v>9.7613999999999979E-2</v>
      </c>
      <c r="T260" s="963"/>
      <c r="U260" s="963"/>
      <c r="V260" s="964"/>
    </row>
    <row r="261" spans="2:22" s="508" customFormat="1" ht="17.45" customHeight="1">
      <c r="B261" s="518"/>
      <c r="C261" s="519">
        <v>83362</v>
      </c>
      <c r="D261" s="1065" t="s">
        <v>736</v>
      </c>
      <c r="E261" s="1065"/>
      <c r="F261" s="1065"/>
      <c r="G261" s="1065"/>
      <c r="H261" s="1065"/>
      <c r="I261" s="1065"/>
      <c r="J261" s="1066" t="s">
        <v>698</v>
      </c>
      <c r="K261" s="1066"/>
      <c r="L261" s="1067">
        <v>1E-3</v>
      </c>
      <c r="M261" s="1067"/>
      <c r="N261" s="1067"/>
      <c r="O261" s="1068">
        <v>228.97</v>
      </c>
      <c r="P261" s="1068"/>
      <c r="Q261" s="1068"/>
      <c r="R261" s="1068"/>
      <c r="S261" s="996">
        <f t="shared" si="8"/>
        <v>0.22897000000000001</v>
      </c>
      <c r="T261" s="963"/>
      <c r="U261" s="963"/>
      <c r="V261" s="964"/>
    </row>
    <row r="262" spans="2:22" s="508" customFormat="1" ht="17.45" customHeight="1">
      <c r="B262" s="518"/>
      <c r="C262" s="519" t="s">
        <v>723</v>
      </c>
      <c r="D262" s="1065" t="s">
        <v>724</v>
      </c>
      <c r="E262" s="1065"/>
      <c r="F262" s="1065"/>
      <c r="G262" s="1065"/>
      <c r="H262" s="1065"/>
      <c r="I262" s="1065"/>
      <c r="J262" s="1066" t="s">
        <v>698</v>
      </c>
      <c r="K262" s="1066"/>
      <c r="L262" s="1067">
        <v>1.6999999999999999E-3</v>
      </c>
      <c r="M262" s="1067"/>
      <c r="N262" s="1067"/>
      <c r="O262" s="1068">
        <v>107.33</v>
      </c>
      <c r="P262" s="1068"/>
      <c r="Q262" s="1068"/>
      <c r="R262" s="1068"/>
      <c r="S262" s="996">
        <f t="shared" si="8"/>
        <v>0.18246099999999998</v>
      </c>
      <c r="T262" s="963"/>
      <c r="U262" s="963"/>
      <c r="V262" s="964"/>
    </row>
    <row r="263" spans="2:22" s="508" customFormat="1" ht="17.45" customHeight="1">
      <c r="B263" s="518"/>
      <c r="C263" s="519" t="s">
        <v>725</v>
      </c>
      <c r="D263" s="1065" t="s">
        <v>724</v>
      </c>
      <c r="E263" s="1065"/>
      <c r="F263" s="1065"/>
      <c r="G263" s="1065"/>
      <c r="H263" s="1065"/>
      <c r="I263" s="1065"/>
      <c r="J263" s="1066" t="s">
        <v>706</v>
      </c>
      <c r="K263" s="1066"/>
      <c r="L263" s="1067">
        <v>4.1000000000000003E-3</v>
      </c>
      <c r="M263" s="1067"/>
      <c r="N263" s="1067"/>
      <c r="O263" s="1068">
        <v>29.82</v>
      </c>
      <c r="P263" s="1068"/>
      <c r="Q263" s="1068"/>
      <c r="R263" s="1068"/>
      <c r="S263" s="996">
        <f t="shared" si="8"/>
        <v>0.12226200000000001</v>
      </c>
      <c r="T263" s="963"/>
      <c r="U263" s="963"/>
      <c r="V263" s="964"/>
    </row>
    <row r="264" spans="2:22" s="508" customFormat="1" ht="17.45" customHeight="1">
      <c r="B264" s="518"/>
      <c r="C264" s="519" t="s">
        <v>737</v>
      </c>
      <c r="D264" s="1065" t="s">
        <v>736</v>
      </c>
      <c r="E264" s="1065"/>
      <c r="F264" s="1065"/>
      <c r="G264" s="1065"/>
      <c r="H264" s="1065"/>
      <c r="I264" s="1065"/>
      <c r="J264" s="1066" t="s">
        <v>706</v>
      </c>
      <c r="K264" s="1066"/>
      <c r="L264" s="1067">
        <v>4.8999999999999998E-3</v>
      </c>
      <c r="M264" s="1067"/>
      <c r="N264" s="1067"/>
      <c r="O264" s="1068">
        <v>45.76</v>
      </c>
      <c r="P264" s="1068"/>
      <c r="Q264" s="1068"/>
      <c r="R264" s="1068"/>
      <c r="S264" s="996">
        <f t="shared" si="8"/>
        <v>0.22422399999999998</v>
      </c>
      <c r="T264" s="963"/>
      <c r="U264" s="963"/>
      <c r="V264" s="964"/>
    </row>
    <row r="265" spans="2:22" s="508" customFormat="1" ht="17.45" customHeight="1">
      <c r="B265" s="520"/>
      <c r="C265" s="521" t="s">
        <v>738</v>
      </c>
      <c r="D265" s="1069" t="s">
        <v>739</v>
      </c>
      <c r="E265" s="1069"/>
      <c r="F265" s="1069"/>
      <c r="G265" s="1069"/>
      <c r="H265" s="1069"/>
      <c r="I265" s="1069"/>
      <c r="J265" s="1070" t="s">
        <v>644</v>
      </c>
      <c r="K265" s="1070"/>
      <c r="L265" s="1071">
        <v>1.2</v>
      </c>
      <c r="M265" s="1071"/>
      <c r="N265" s="1071"/>
      <c r="O265" s="1072">
        <v>6.53</v>
      </c>
      <c r="P265" s="1072"/>
      <c r="Q265" s="1072"/>
      <c r="R265" s="1072"/>
      <c r="S265" s="1024">
        <f t="shared" si="8"/>
        <v>7.8360000000000003</v>
      </c>
      <c r="T265" s="1025"/>
      <c r="U265" s="1025"/>
      <c r="V265" s="1026"/>
    </row>
    <row r="266" spans="2:22" s="508" customFormat="1" ht="17.45" customHeight="1">
      <c r="B266" s="965"/>
      <c r="C266" s="965"/>
      <c r="D266" s="965"/>
      <c r="E266" s="965"/>
      <c r="F266" s="965"/>
      <c r="G266" s="965"/>
      <c r="H266" s="965"/>
      <c r="I266" s="966" t="s">
        <v>645</v>
      </c>
      <c r="J266" s="966"/>
      <c r="K266" s="966"/>
      <c r="L266" s="966"/>
      <c r="M266" s="966"/>
      <c r="N266" s="966"/>
      <c r="O266" s="966"/>
      <c r="P266" s="966"/>
      <c r="Q266" s="966"/>
      <c r="R266" s="966"/>
      <c r="S266" s="1029">
        <f>SUM(S258:V265)</f>
        <v>8.7357030000000009</v>
      </c>
      <c r="T266" s="1029"/>
      <c r="U266" s="1029"/>
      <c r="V266" s="1029"/>
    </row>
    <row r="267" spans="2:22" s="508" customFormat="1" ht="17.45" customHeight="1">
      <c r="B267" s="967"/>
      <c r="C267" s="967"/>
      <c r="D267" s="967"/>
      <c r="E267" s="967"/>
      <c r="F267" s="967"/>
      <c r="G267" s="967"/>
      <c r="H267" s="967"/>
      <c r="I267" s="967"/>
      <c r="J267" s="967"/>
      <c r="K267" s="967"/>
      <c r="L267" s="967"/>
      <c r="M267" s="967"/>
      <c r="N267" s="967"/>
      <c r="O267" s="967"/>
      <c r="P267" s="967"/>
      <c r="Q267" s="967"/>
      <c r="R267" s="967"/>
      <c r="S267" s="967"/>
      <c r="T267" s="967"/>
      <c r="U267" s="967"/>
      <c r="V267" s="967"/>
    </row>
    <row r="268" spans="2:22" s="508" customFormat="1" ht="17.45" customHeight="1">
      <c r="B268" s="968"/>
      <c r="C268" s="968"/>
      <c r="D268" s="968"/>
      <c r="E268" s="968"/>
      <c r="F268" s="968"/>
      <c r="G268" s="968"/>
      <c r="H268" s="968"/>
      <c r="I268" s="969" t="s">
        <v>646</v>
      </c>
      <c r="J268" s="969"/>
      <c r="K268" s="969"/>
      <c r="L268" s="969"/>
      <c r="M268" s="969"/>
      <c r="N268" s="969"/>
      <c r="O268" s="969"/>
      <c r="P268" s="969"/>
      <c r="Q268" s="969"/>
      <c r="R268" s="969"/>
      <c r="S268" s="963">
        <f>S266</f>
        <v>8.7357030000000009</v>
      </c>
      <c r="T268" s="963"/>
      <c r="U268" s="963"/>
      <c r="V268" s="964"/>
    </row>
    <row r="269" spans="2:22" s="508" customFormat="1" ht="17.45" customHeight="1">
      <c r="B269" s="968"/>
      <c r="C269" s="968"/>
      <c r="D269" s="968"/>
      <c r="E269" s="968"/>
      <c r="F269" s="968"/>
      <c r="G269" s="968"/>
      <c r="H269" s="969" t="s">
        <v>647</v>
      </c>
      <c r="I269" s="969"/>
      <c r="J269" s="969"/>
      <c r="K269" s="969"/>
      <c r="L269" s="969"/>
      <c r="M269" s="970">
        <v>20.7</v>
      </c>
      <c r="N269" s="970"/>
      <c r="O269" s="970"/>
      <c r="P269" s="969" t="s">
        <v>648</v>
      </c>
      <c r="Q269" s="969"/>
      <c r="R269" s="969"/>
      <c r="S269" s="963">
        <f>S268*M269%</f>
        <v>1.808290521</v>
      </c>
      <c r="T269" s="963"/>
      <c r="U269" s="963"/>
      <c r="V269" s="964"/>
    </row>
    <row r="270" spans="2:22" s="508" customFormat="1" ht="17.45" customHeight="1">
      <c r="B270" s="968"/>
      <c r="C270" s="968"/>
      <c r="D270" s="968"/>
      <c r="E270" s="968"/>
      <c r="F270" s="968"/>
      <c r="G270" s="968"/>
      <c r="H270" s="968"/>
      <c r="I270" s="969" t="s">
        <v>649</v>
      </c>
      <c r="J270" s="969"/>
      <c r="K270" s="969"/>
      <c r="L270" s="969"/>
      <c r="M270" s="969"/>
      <c r="N270" s="969"/>
      <c r="O270" s="969"/>
      <c r="P270" s="969"/>
      <c r="Q270" s="969"/>
      <c r="R270" s="969"/>
      <c r="S270" s="963">
        <f>S268+S269</f>
        <v>10.543993521000001</v>
      </c>
      <c r="T270" s="963"/>
      <c r="U270" s="963"/>
      <c r="V270" s="964"/>
    </row>
    <row r="271" spans="2:22" s="508" customFormat="1" ht="144.94999999999999" customHeight="1">
      <c r="B271" s="522"/>
      <c r="C271" s="523"/>
      <c r="D271" s="524"/>
      <c r="E271" s="524"/>
      <c r="F271" s="524"/>
      <c r="G271" s="524"/>
      <c r="H271" s="524"/>
      <c r="I271" s="524"/>
      <c r="J271" s="524"/>
      <c r="K271" s="523"/>
      <c r="L271" s="523"/>
      <c r="M271" s="523"/>
      <c r="N271" s="523"/>
      <c r="O271" s="523"/>
      <c r="P271" s="523"/>
      <c r="Q271" s="523"/>
      <c r="R271" s="523"/>
      <c r="S271" s="523"/>
      <c r="T271" s="523"/>
      <c r="U271" s="523"/>
      <c r="V271" s="525"/>
    </row>
    <row r="272" spans="2:22" s="508" customFormat="1" ht="144.94999999999999" customHeight="1">
      <c r="B272" s="522"/>
      <c r="C272" s="523"/>
      <c r="D272" s="524"/>
      <c r="E272" s="524"/>
      <c r="F272" s="524"/>
      <c r="G272" s="524"/>
      <c r="H272" s="524"/>
      <c r="I272" s="524"/>
      <c r="J272" s="524"/>
      <c r="K272" s="523"/>
      <c r="L272" s="523"/>
      <c r="M272" s="523"/>
      <c r="N272" s="523"/>
      <c r="O272" s="523"/>
      <c r="P272" s="523"/>
      <c r="Q272" s="523"/>
      <c r="R272" s="523"/>
      <c r="S272" s="523"/>
      <c r="T272" s="523"/>
      <c r="U272" s="523"/>
      <c r="V272" s="525"/>
    </row>
    <row r="273" spans="2:22" s="508" customFormat="1" ht="144.94999999999999" customHeight="1">
      <c r="B273" s="522"/>
      <c r="C273" s="523"/>
      <c r="D273" s="524"/>
      <c r="E273" s="524"/>
      <c r="F273" s="524"/>
      <c r="G273" s="524"/>
      <c r="H273" s="524"/>
      <c r="I273" s="524"/>
      <c r="J273" s="524"/>
      <c r="K273" s="523"/>
      <c r="L273" s="523"/>
      <c r="M273" s="523"/>
      <c r="N273" s="523"/>
      <c r="O273" s="523"/>
      <c r="P273" s="523"/>
      <c r="Q273" s="523"/>
      <c r="R273" s="523"/>
      <c r="S273" s="523"/>
      <c r="T273" s="523"/>
      <c r="U273" s="523"/>
      <c r="V273" s="525"/>
    </row>
    <row r="274" spans="2:22" s="508" customFormat="1" ht="17.45" customHeight="1">
      <c r="B274" s="512"/>
      <c r="C274" s="513"/>
      <c r="D274" s="526"/>
      <c r="E274" s="526"/>
      <c r="F274" s="526"/>
      <c r="G274" s="526"/>
      <c r="H274" s="526"/>
      <c r="I274" s="526"/>
      <c r="J274" s="526"/>
      <c r="K274" s="513"/>
      <c r="L274" s="513"/>
      <c r="M274" s="513"/>
      <c r="N274" s="513"/>
      <c r="O274" s="513"/>
      <c r="P274" s="513"/>
      <c r="Q274" s="513"/>
      <c r="R274" s="513"/>
      <c r="S274" s="513"/>
      <c r="T274" s="513"/>
      <c r="U274" s="513"/>
      <c r="V274" s="515"/>
    </row>
    <row r="275" spans="2:22" s="508" customFormat="1" ht="17.45" customHeight="1">
      <c r="B275" s="530"/>
      <c r="C275" s="999" t="s">
        <v>617</v>
      </c>
      <c r="D275" s="999"/>
      <c r="E275" s="999"/>
      <c r="F275" s="505"/>
      <c r="G275" s="1000" t="s">
        <v>821</v>
      </c>
      <c r="H275" s="1000"/>
      <c r="I275" s="1000"/>
      <c r="J275" s="1000"/>
      <c r="K275" s="1000"/>
      <c r="L275" s="1000"/>
      <c r="M275" s="506"/>
      <c r="N275" s="1000" t="s">
        <v>618</v>
      </c>
      <c r="O275" s="1000"/>
      <c r="P275" s="1000"/>
      <c r="Q275" s="1000"/>
      <c r="R275" s="1000"/>
      <c r="S275" s="1000"/>
      <c r="T275" s="1000"/>
      <c r="U275" s="1000"/>
      <c r="V275" s="507"/>
    </row>
    <row r="276" spans="2:22" s="508" customFormat="1" ht="17.45" customHeight="1">
      <c r="B276" s="509"/>
      <c r="C276" s="999" t="s">
        <v>619</v>
      </c>
      <c r="D276" s="999"/>
      <c r="E276" s="1030" t="s">
        <v>740</v>
      </c>
      <c r="F276" s="1030"/>
      <c r="G276" s="1030"/>
      <c r="H276" s="1030"/>
      <c r="I276" s="1030"/>
      <c r="J276" s="1030"/>
      <c r="K276" s="1005" t="s">
        <v>620</v>
      </c>
      <c r="L276" s="1005"/>
      <c r="M276" s="510"/>
      <c r="N276" s="1006" t="s">
        <v>741</v>
      </c>
      <c r="O276" s="1006"/>
      <c r="P276" s="1006"/>
      <c r="Q276" s="510"/>
      <c r="R276" s="510"/>
      <c r="S276" s="510"/>
      <c r="T276" s="510"/>
      <c r="U276" s="510"/>
      <c r="V276" s="511"/>
    </row>
    <row r="277" spans="2:22" s="508" customFormat="1" ht="17.45" customHeight="1">
      <c r="B277" s="512"/>
      <c r="C277" s="999"/>
      <c r="D277" s="999"/>
      <c r="E277" s="1030"/>
      <c r="F277" s="1030"/>
      <c r="G277" s="1030"/>
      <c r="H277" s="1030"/>
      <c r="I277" s="1030"/>
      <c r="J277" s="1030"/>
      <c r="K277" s="1007" t="s">
        <v>622</v>
      </c>
      <c r="L277" s="1007"/>
      <c r="M277" s="513"/>
      <c r="N277" s="1008">
        <v>1</v>
      </c>
      <c r="O277" s="1008"/>
      <c r="P277" s="1008"/>
      <c r="Q277" s="513"/>
      <c r="R277" s="1007" t="s">
        <v>623</v>
      </c>
      <c r="S277" s="1007"/>
      <c r="T277" s="513"/>
      <c r="U277" s="514" t="s">
        <v>624</v>
      </c>
      <c r="V277" s="515"/>
    </row>
    <row r="278" spans="2:22" s="508" customFormat="1" ht="17.45" customHeight="1">
      <c r="B278" s="997" t="s">
        <v>625</v>
      </c>
      <c r="C278" s="997"/>
      <c r="D278" s="998" t="s">
        <v>259</v>
      </c>
      <c r="E278" s="998"/>
      <c r="F278" s="998"/>
      <c r="G278" s="998"/>
      <c r="H278" s="998"/>
      <c r="I278" s="998"/>
      <c r="J278" s="997" t="s">
        <v>266</v>
      </c>
      <c r="K278" s="997"/>
      <c r="L278" s="997" t="s">
        <v>270</v>
      </c>
      <c r="M278" s="997"/>
      <c r="N278" s="997"/>
      <c r="O278" s="998" t="s">
        <v>626</v>
      </c>
      <c r="P278" s="998"/>
      <c r="Q278" s="998"/>
      <c r="R278" s="998"/>
      <c r="S278" s="998" t="s">
        <v>627</v>
      </c>
      <c r="T278" s="998"/>
      <c r="U278" s="998"/>
      <c r="V278" s="998"/>
    </row>
    <row r="279" spans="2:22" s="508" customFormat="1" ht="17.45" customHeight="1">
      <c r="B279" s="516"/>
      <c r="C279" s="517" t="s">
        <v>634</v>
      </c>
      <c r="D279" s="1060" t="s">
        <v>635</v>
      </c>
      <c r="E279" s="1060"/>
      <c r="F279" s="1060"/>
      <c r="G279" s="1060"/>
      <c r="H279" s="1060"/>
      <c r="I279" s="1060"/>
      <c r="J279" s="1061" t="s">
        <v>633</v>
      </c>
      <c r="K279" s="1061"/>
      <c r="L279" s="1062">
        <v>1.09E-2</v>
      </c>
      <c r="M279" s="1062"/>
      <c r="N279" s="1062"/>
      <c r="O279" s="1063">
        <v>16.829999999999998</v>
      </c>
      <c r="P279" s="1063"/>
      <c r="Q279" s="1063"/>
      <c r="R279" s="1063"/>
      <c r="S279" s="1064">
        <f>L279*O279</f>
        <v>0.18344699999999997</v>
      </c>
      <c r="T279" s="1064"/>
      <c r="U279" s="1064"/>
      <c r="V279" s="1064"/>
    </row>
    <row r="280" spans="2:22" s="508" customFormat="1" ht="17.45" customHeight="1">
      <c r="B280" s="518"/>
      <c r="C280" s="519" t="s">
        <v>735</v>
      </c>
      <c r="D280" s="1065" t="s">
        <v>736</v>
      </c>
      <c r="E280" s="1065"/>
      <c r="F280" s="1065"/>
      <c r="G280" s="1065"/>
      <c r="H280" s="1065"/>
      <c r="I280" s="1065"/>
      <c r="J280" s="1066" t="s">
        <v>698</v>
      </c>
      <c r="K280" s="1066"/>
      <c r="L280" s="1067">
        <v>1.8E-3</v>
      </c>
      <c r="M280" s="1067"/>
      <c r="N280" s="1067"/>
      <c r="O280" s="1068">
        <v>228.97</v>
      </c>
      <c r="P280" s="1068"/>
      <c r="Q280" s="1068"/>
      <c r="R280" s="1068"/>
      <c r="S280" s="996">
        <f t="shared" ref="S280:S283" si="9">L280*O280</f>
        <v>0.41214600000000001</v>
      </c>
      <c r="T280" s="963"/>
      <c r="U280" s="963"/>
      <c r="V280" s="964"/>
    </row>
    <row r="281" spans="2:22" s="508" customFormat="1" ht="17.45" customHeight="1">
      <c r="B281" s="518"/>
      <c r="C281" s="519" t="s">
        <v>742</v>
      </c>
      <c r="D281" s="1065" t="s">
        <v>743</v>
      </c>
      <c r="E281" s="1065"/>
      <c r="F281" s="1065"/>
      <c r="G281" s="1065"/>
      <c r="H281" s="1065"/>
      <c r="I281" s="1065"/>
      <c r="J281" s="1066" t="s">
        <v>698</v>
      </c>
      <c r="K281" s="1066"/>
      <c r="L281" s="1067">
        <v>4.0000000000000002E-4</v>
      </c>
      <c r="M281" s="1067"/>
      <c r="N281" s="1067"/>
      <c r="O281" s="1068">
        <v>155.08000000000001</v>
      </c>
      <c r="P281" s="1068"/>
      <c r="Q281" s="1068"/>
      <c r="R281" s="1068"/>
      <c r="S281" s="996">
        <f t="shared" si="9"/>
        <v>6.2032000000000011E-2</v>
      </c>
      <c r="T281" s="963"/>
      <c r="U281" s="963"/>
      <c r="V281" s="964"/>
    </row>
    <row r="282" spans="2:22" s="508" customFormat="1" ht="17.45" customHeight="1">
      <c r="B282" s="518"/>
      <c r="C282" s="519" t="s">
        <v>744</v>
      </c>
      <c r="D282" s="1065" t="s">
        <v>743</v>
      </c>
      <c r="E282" s="1065"/>
      <c r="F282" s="1065"/>
      <c r="G282" s="1065"/>
      <c r="H282" s="1065"/>
      <c r="I282" s="1065"/>
      <c r="J282" s="1066" t="s">
        <v>706</v>
      </c>
      <c r="K282" s="1066"/>
      <c r="L282" s="1067">
        <v>1.5E-3</v>
      </c>
      <c r="M282" s="1067"/>
      <c r="N282" s="1067"/>
      <c r="O282" s="1068">
        <v>39.880000000000003</v>
      </c>
      <c r="P282" s="1068"/>
      <c r="Q282" s="1068"/>
      <c r="R282" s="1068"/>
      <c r="S282" s="996">
        <f t="shared" si="9"/>
        <v>5.9820000000000005E-2</v>
      </c>
      <c r="T282" s="963"/>
      <c r="U282" s="963"/>
      <c r="V282" s="964"/>
    </row>
    <row r="283" spans="2:22" s="508" customFormat="1" ht="17.45" customHeight="1">
      <c r="B283" s="520"/>
      <c r="C283" s="521" t="s">
        <v>745</v>
      </c>
      <c r="D283" s="1069" t="s">
        <v>746</v>
      </c>
      <c r="E283" s="1069"/>
      <c r="F283" s="1069"/>
      <c r="G283" s="1069"/>
      <c r="H283" s="1069"/>
      <c r="I283" s="1069"/>
      <c r="J283" s="1070" t="s">
        <v>644</v>
      </c>
      <c r="K283" s="1070"/>
      <c r="L283" s="1071">
        <v>0.5</v>
      </c>
      <c r="M283" s="1071"/>
      <c r="N283" s="1071"/>
      <c r="O283" s="1072">
        <v>3.68</v>
      </c>
      <c r="P283" s="1072"/>
      <c r="Q283" s="1072"/>
      <c r="R283" s="1072"/>
      <c r="S283" s="1024">
        <f t="shared" si="9"/>
        <v>1.84</v>
      </c>
      <c r="T283" s="1025"/>
      <c r="U283" s="1025"/>
      <c r="V283" s="1026"/>
    </row>
    <row r="284" spans="2:22" s="508" customFormat="1" ht="17.45" customHeight="1">
      <c r="B284" s="965"/>
      <c r="C284" s="965"/>
      <c r="D284" s="965"/>
      <c r="E284" s="965"/>
      <c r="F284" s="965"/>
      <c r="G284" s="965"/>
      <c r="H284" s="965"/>
      <c r="I284" s="966" t="s">
        <v>645</v>
      </c>
      <c r="J284" s="966"/>
      <c r="K284" s="966"/>
      <c r="L284" s="966"/>
      <c r="M284" s="966"/>
      <c r="N284" s="966"/>
      <c r="O284" s="966"/>
      <c r="P284" s="966"/>
      <c r="Q284" s="966"/>
      <c r="R284" s="966"/>
      <c r="S284" s="1029">
        <f>SUM(S279:V283)</f>
        <v>2.557445</v>
      </c>
      <c r="T284" s="1029"/>
      <c r="U284" s="1029"/>
      <c r="V284" s="1029"/>
    </row>
    <row r="285" spans="2:22" s="508" customFormat="1" ht="17.45" customHeight="1">
      <c r="B285" s="967"/>
      <c r="C285" s="967"/>
      <c r="D285" s="967"/>
      <c r="E285" s="967"/>
      <c r="F285" s="967"/>
      <c r="G285" s="967"/>
      <c r="H285" s="967"/>
      <c r="I285" s="967"/>
      <c r="J285" s="967"/>
      <c r="K285" s="967"/>
      <c r="L285" s="967"/>
      <c r="M285" s="967"/>
      <c r="N285" s="967"/>
      <c r="O285" s="967"/>
      <c r="P285" s="967"/>
      <c r="Q285" s="967"/>
      <c r="R285" s="967"/>
      <c r="S285" s="967"/>
      <c r="T285" s="967"/>
      <c r="U285" s="967"/>
      <c r="V285" s="967"/>
    </row>
    <row r="286" spans="2:22" s="508" customFormat="1" ht="17.45" customHeight="1">
      <c r="B286" s="968"/>
      <c r="C286" s="968"/>
      <c r="D286" s="968"/>
      <c r="E286" s="968"/>
      <c r="F286" s="968"/>
      <c r="G286" s="968"/>
      <c r="H286" s="968"/>
      <c r="I286" s="969" t="s">
        <v>646</v>
      </c>
      <c r="J286" s="969"/>
      <c r="K286" s="969"/>
      <c r="L286" s="969"/>
      <c r="M286" s="969"/>
      <c r="N286" s="969"/>
      <c r="O286" s="969"/>
      <c r="P286" s="969"/>
      <c r="Q286" s="969"/>
      <c r="R286" s="969"/>
      <c r="S286" s="963">
        <f>S284</f>
        <v>2.557445</v>
      </c>
      <c r="T286" s="963"/>
      <c r="U286" s="963"/>
      <c r="V286" s="964"/>
    </row>
    <row r="287" spans="2:22" s="508" customFormat="1" ht="17.45" customHeight="1">
      <c r="B287" s="968"/>
      <c r="C287" s="968"/>
      <c r="D287" s="968"/>
      <c r="E287" s="968"/>
      <c r="F287" s="968"/>
      <c r="G287" s="968"/>
      <c r="H287" s="969" t="s">
        <v>647</v>
      </c>
      <c r="I287" s="969"/>
      <c r="J287" s="969"/>
      <c r="K287" s="969"/>
      <c r="L287" s="969"/>
      <c r="M287" s="970">
        <v>20.7</v>
      </c>
      <c r="N287" s="970"/>
      <c r="O287" s="970"/>
      <c r="P287" s="969" t="s">
        <v>648</v>
      </c>
      <c r="Q287" s="969"/>
      <c r="R287" s="969"/>
      <c r="S287" s="963">
        <f>S286*M287%</f>
        <v>0.52939111499999991</v>
      </c>
      <c r="T287" s="963"/>
      <c r="U287" s="963"/>
      <c r="V287" s="964"/>
    </row>
    <row r="288" spans="2:22" s="508" customFormat="1" ht="17.45" customHeight="1">
      <c r="B288" s="968"/>
      <c r="C288" s="968"/>
      <c r="D288" s="968"/>
      <c r="E288" s="968"/>
      <c r="F288" s="968"/>
      <c r="G288" s="968"/>
      <c r="H288" s="968"/>
      <c r="I288" s="969" t="s">
        <v>649</v>
      </c>
      <c r="J288" s="969"/>
      <c r="K288" s="969"/>
      <c r="L288" s="969"/>
      <c r="M288" s="969"/>
      <c r="N288" s="969"/>
      <c r="O288" s="969"/>
      <c r="P288" s="969"/>
      <c r="Q288" s="969"/>
      <c r="R288" s="969"/>
      <c r="S288" s="963">
        <f>S286+S287</f>
        <v>3.0868361149999997</v>
      </c>
      <c r="T288" s="963"/>
      <c r="U288" s="963"/>
      <c r="V288" s="964"/>
    </row>
    <row r="289" spans="2:22" s="508" customFormat="1" ht="144.94999999999999" customHeight="1">
      <c r="B289" s="522"/>
      <c r="C289" s="523"/>
      <c r="D289" s="524"/>
      <c r="E289" s="524"/>
      <c r="F289" s="524"/>
      <c r="G289" s="524"/>
      <c r="H289" s="524"/>
      <c r="I289" s="524"/>
      <c r="J289" s="524"/>
      <c r="K289" s="523"/>
      <c r="L289" s="523"/>
      <c r="M289" s="523"/>
      <c r="N289" s="523"/>
      <c r="O289" s="523"/>
      <c r="P289" s="523"/>
      <c r="Q289" s="523"/>
      <c r="R289" s="523"/>
      <c r="S289" s="523"/>
      <c r="T289" s="523"/>
      <c r="U289" s="523"/>
      <c r="V289" s="525"/>
    </row>
    <row r="290" spans="2:22" s="508" customFormat="1" ht="144.94999999999999" customHeight="1">
      <c r="B290" s="522"/>
      <c r="C290" s="523"/>
      <c r="D290" s="524"/>
      <c r="E290" s="524"/>
      <c r="F290" s="524"/>
      <c r="G290" s="524"/>
      <c r="H290" s="524"/>
      <c r="I290" s="524"/>
      <c r="J290" s="524"/>
      <c r="K290" s="523"/>
      <c r="L290" s="523"/>
      <c r="M290" s="523"/>
      <c r="N290" s="523"/>
      <c r="O290" s="523"/>
      <c r="P290" s="523"/>
      <c r="Q290" s="523"/>
      <c r="R290" s="523"/>
      <c r="S290" s="523"/>
      <c r="T290" s="523"/>
      <c r="U290" s="523"/>
      <c r="V290" s="525"/>
    </row>
    <row r="291" spans="2:22" s="508" customFormat="1" ht="144.94999999999999" customHeight="1">
      <c r="B291" s="522"/>
      <c r="C291" s="523"/>
      <c r="D291" s="524"/>
      <c r="E291" s="524"/>
      <c r="F291" s="524"/>
      <c r="G291" s="524"/>
      <c r="H291" s="524"/>
      <c r="I291" s="524"/>
      <c r="J291" s="524"/>
      <c r="K291" s="523"/>
      <c r="L291" s="523"/>
      <c r="M291" s="523"/>
      <c r="N291" s="523"/>
      <c r="O291" s="523"/>
      <c r="P291" s="523"/>
      <c r="Q291" s="523"/>
      <c r="R291" s="523"/>
      <c r="S291" s="523"/>
      <c r="T291" s="523"/>
      <c r="U291" s="523"/>
      <c r="V291" s="525"/>
    </row>
    <row r="292" spans="2:22" s="508" customFormat="1" ht="17.45" customHeight="1">
      <c r="B292" s="512"/>
      <c r="C292" s="513"/>
      <c r="D292" s="526"/>
      <c r="E292" s="526"/>
      <c r="F292" s="526"/>
      <c r="G292" s="526"/>
      <c r="H292" s="526"/>
      <c r="I292" s="526"/>
      <c r="J292" s="526"/>
      <c r="K292" s="513"/>
      <c r="L292" s="513"/>
      <c r="M292" s="513"/>
      <c r="N292" s="513"/>
      <c r="O292" s="513"/>
      <c r="P292" s="513"/>
      <c r="Q292" s="513"/>
      <c r="R292" s="513"/>
      <c r="S292" s="513"/>
      <c r="T292" s="513"/>
      <c r="U292" s="513"/>
      <c r="V292" s="515"/>
    </row>
    <row r="293" spans="2:22" s="508" customFormat="1" ht="17.45" customHeight="1">
      <c r="B293" s="530"/>
      <c r="C293" s="999" t="s">
        <v>617</v>
      </c>
      <c r="D293" s="999"/>
      <c r="E293" s="999"/>
      <c r="F293" s="505"/>
      <c r="G293" s="1000" t="s">
        <v>821</v>
      </c>
      <c r="H293" s="1000"/>
      <c r="I293" s="1000"/>
      <c r="J293" s="1000"/>
      <c r="K293" s="1000"/>
      <c r="L293" s="1000"/>
      <c r="M293" s="506"/>
      <c r="N293" s="1000" t="s">
        <v>618</v>
      </c>
      <c r="O293" s="1000"/>
      <c r="P293" s="1000"/>
      <c r="Q293" s="1000"/>
      <c r="R293" s="1000"/>
      <c r="S293" s="1000"/>
      <c r="T293" s="1000"/>
      <c r="U293" s="1000"/>
      <c r="V293" s="507"/>
    </row>
    <row r="294" spans="2:22" s="508" customFormat="1" ht="17.45" customHeight="1">
      <c r="B294" s="509"/>
      <c r="C294" s="999" t="s">
        <v>619</v>
      </c>
      <c r="D294" s="999"/>
      <c r="E294" s="1030" t="s">
        <v>747</v>
      </c>
      <c r="F294" s="1030"/>
      <c r="G294" s="1030"/>
      <c r="H294" s="1030"/>
      <c r="I294" s="1030"/>
      <c r="J294" s="1030"/>
      <c r="K294" s="1005" t="s">
        <v>620</v>
      </c>
      <c r="L294" s="1005"/>
      <c r="M294" s="510"/>
      <c r="N294" s="1006" t="s">
        <v>748</v>
      </c>
      <c r="O294" s="1006"/>
      <c r="P294" s="1006"/>
      <c r="Q294" s="510"/>
      <c r="R294" s="510"/>
      <c r="S294" s="510"/>
      <c r="T294" s="510"/>
      <c r="U294" s="510"/>
      <c r="V294" s="511"/>
    </row>
    <row r="295" spans="2:22" s="508" customFormat="1" ht="17.45" customHeight="1">
      <c r="B295" s="512"/>
      <c r="C295" s="999"/>
      <c r="D295" s="999"/>
      <c r="E295" s="1030"/>
      <c r="F295" s="1030"/>
      <c r="G295" s="1030"/>
      <c r="H295" s="1030"/>
      <c r="I295" s="1030"/>
      <c r="J295" s="1030"/>
      <c r="K295" s="1007" t="s">
        <v>622</v>
      </c>
      <c r="L295" s="1007"/>
      <c r="M295" s="513"/>
      <c r="N295" s="1008">
        <v>1</v>
      </c>
      <c r="O295" s="1008"/>
      <c r="P295" s="1008"/>
      <c r="Q295" s="513"/>
      <c r="R295" s="1007" t="s">
        <v>623</v>
      </c>
      <c r="S295" s="1007"/>
      <c r="T295" s="513"/>
      <c r="U295" s="514" t="s">
        <v>630</v>
      </c>
      <c r="V295" s="515"/>
    </row>
    <row r="296" spans="2:22" s="508" customFormat="1" ht="17.45" customHeight="1">
      <c r="B296" s="997" t="s">
        <v>625</v>
      </c>
      <c r="C296" s="997"/>
      <c r="D296" s="998" t="s">
        <v>259</v>
      </c>
      <c r="E296" s="998"/>
      <c r="F296" s="998"/>
      <c r="G296" s="998"/>
      <c r="H296" s="998"/>
      <c r="I296" s="998"/>
      <c r="J296" s="997" t="s">
        <v>266</v>
      </c>
      <c r="K296" s="997"/>
      <c r="L296" s="997" t="s">
        <v>270</v>
      </c>
      <c r="M296" s="997"/>
      <c r="N296" s="997"/>
      <c r="O296" s="998" t="s">
        <v>626</v>
      </c>
      <c r="P296" s="998"/>
      <c r="Q296" s="998"/>
      <c r="R296" s="998"/>
      <c r="S296" s="998" t="s">
        <v>627</v>
      </c>
      <c r="T296" s="998"/>
      <c r="U296" s="998"/>
      <c r="V296" s="998"/>
    </row>
    <row r="297" spans="2:22" s="508" customFormat="1" ht="17.45" customHeight="1">
      <c r="B297" s="516"/>
      <c r="C297" s="517">
        <v>5835</v>
      </c>
      <c r="D297" s="1060" t="s">
        <v>749</v>
      </c>
      <c r="E297" s="1060"/>
      <c r="F297" s="1060"/>
      <c r="G297" s="1060"/>
      <c r="H297" s="1060"/>
      <c r="I297" s="1060"/>
      <c r="J297" s="1061" t="s">
        <v>698</v>
      </c>
      <c r="K297" s="1061"/>
      <c r="L297" s="1062">
        <v>5.8000000000000003E-2</v>
      </c>
      <c r="M297" s="1062"/>
      <c r="N297" s="1062"/>
      <c r="O297" s="1063">
        <v>412.04</v>
      </c>
      <c r="P297" s="1063"/>
      <c r="Q297" s="1063"/>
      <c r="R297" s="1063"/>
      <c r="S297" s="1064">
        <f>L297*O297</f>
        <v>23.898320000000002</v>
      </c>
      <c r="T297" s="1064"/>
      <c r="U297" s="1064"/>
      <c r="V297" s="1064"/>
    </row>
    <row r="298" spans="2:22" s="508" customFormat="1" ht="17.45" customHeight="1">
      <c r="B298" s="518"/>
      <c r="C298" s="519" t="s">
        <v>750</v>
      </c>
      <c r="D298" s="1065" t="s">
        <v>749</v>
      </c>
      <c r="E298" s="1065"/>
      <c r="F298" s="1065"/>
      <c r="G298" s="1065"/>
      <c r="H298" s="1065"/>
      <c r="I298" s="1065"/>
      <c r="J298" s="1066" t="s">
        <v>706</v>
      </c>
      <c r="K298" s="1066"/>
      <c r="L298" s="1067">
        <v>0.1186</v>
      </c>
      <c r="M298" s="1067"/>
      <c r="N298" s="1067"/>
      <c r="O298" s="1068">
        <v>149.47</v>
      </c>
      <c r="P298" s="1068"/>
      <c r="Q298" s="1068"/>
      <c r="R298" s="1068"/>
      <c r="S298" s="996">
        <f t="shared" ref="S298:S307" si="10">L298*O298</f>
        <v>17.727142000000001</v>
      </c>
      <c r="T298" s="963"/>
      <c r="U298" s="963"/>
      <c r="V298" s="964"/>
    </row>
    <row r="299" spans="2:22" s="508" customFormat="1" ht="17.45" customHeight="1">
      <c r="B299" s="518"/>
      <c r="C299" s="519" t="s">
        <v>751</v>
      </c>
      <c r="D299" s="1065" t="s">
        <v>752</v>
      </c>
      <c r="E299" s="1065"/>
      <c r="F299" s="1065"/>
      <c r="G299" s="1065"/>
      <c r="H299" s="1065"/>
      <c r="I299" s="1065"/>
      <c r="J299" s="1066" t="s">
        <v>633</v>
      </c>
      <c r="K299" s="1066"/>
      <c r="L299" s="1067">
        <v>1.4126000000000001</v>
      </c>
      <c r="M299" s="1067"/>
      <c r="N299" s="1067"/>
      <c r="O299" s="1068">
        <v>14.19</v>
      </c>
      <c r="P299" s="1068"/>
      <c r="Q299" s="1068"/>
      <c r="R299" s="1068"/>
      <c r="S299" s="996">
        <f t="shared" si="10"/>
        <v>20.044794</v>
      </c>
      <c r="T299" s="963"/>
      <c r="U299" s="963"/>
      <c r="V299" s="964"/>
    </row>
    <row r="300" spans="2:22" s="508" customFormat="1" ht="17.45" customHeight="1">
      <c r="B300" s="518"/>
      <c r="C300" s="519">
        <v>91386</v>
      </c>
      <c r="D300" s="1065" t="s">
        <v>705</v>
      </c>
      <c r="E300" s="1065"/>
      <c r="F300" s="1065"/>
      <c r="G300" s="1065"/>
      <c r="H300" s="1065"/>
      <c r="I300" s="1065"/>
      <c r="J300" s="1066" t="s">
        <v>698</v>
      </c>
      <c r="K300" s="1066"/>
      <c r="L300" s="1067">
        <v>5.8000000000000003E-2</v>
      </c>
      <c r="M300" s="1067"/>
      <c r="N300" s="1067"/>
      <c r="O300" s="1068">
        <v>180.94</v>
      </c>
      <c r="P300" s="1068"/>
      <c r="Q300" s="1068"/>
      <c r="R300" s="1068"/>
      <c r="S300" s="996">
        <f t="shared" si="10"/>
        <v>10.49452</v>
      </c>
      <c r="T300" s="963"/>
      <c r="U300" s="963"/>
      <c r="V300" s="964"/>
    </row>
    <row r="301" spans="2:22" s="508" customFormat="1" ht="17.45" customHeight="1">
      <c r="B301" s="518"/>
      <c r="C301" s="519">
        <v>95631</v>
      </c>
      <c r="D301" s="1065" t="s">
        <v>753</v>
      </c>
      <c r="E301" s="1065"/>
      <c r="F301" s="1065"/>
      <c r="G301" s="1065"/>
      <c r="H301" s="1065"/>
      <c r="I301" s="1065"/>
      <c r="J301" s="1066" t="s">
        <v>698</v>
      </c>
      <c r="K301" s="1066"/>
      <c r="L301" s="1067">
        <v>9.5100000000000004E-2</v>
      </c>
      <c r="M301" s="1067"/>
      <c r="N301" s="1067"/>
      <c r="O301" s="1068">
        <v>203.6</v>
      </c>
      <c r="P301" s="1068"/>
      <c r="Q301" s="1068"/>
      <c r="R301" s="1068"/>
      <c r="S301" s="996">
        <f t="shared" si="10"/>
        <v>19.362359999999999</v>
      </c>
      <c r="T301" s="963"/>
      <c r="U301" s="963"/>
      <c r="V301" s="964"/>
    </row>
    <row r="302" spans="2:22" s="508" customFormat="1" ht="17.45" customHeight="1">
      <c r="B302" s="518"/>
      <c r="C302" s="519" t="s">
        <v>754</v>
      </c>
      <c r="D302" s="1065" t="s">
        <v>753</v>
      </c>
      <c r="E302" s="1065"/>
      <c r="F302" s="1065"/>
      <c r="G302" s="1065"/>
      <c r="H302" s="1065"/>
      <c r="I302" s="1065"/>
      <c r="J302" s="1066" t="s">
        <v>706</v>
      </c>
      <c r="K302" s="1066"/>
      <c r="L302" s="1067">
        <v>8.1500000000000003E-2</v>
      </c>
      <c r="M302" s="1067"/>
      <c r="N302" s="1067"/>
      <c r="O302" s="1068">
        <v>64.739999999999995</v>
      </c>
      <c r="P302" s="1068"/>
      <c r="Q302" s="1068"/>
      <c r="R302" s="1068"/>
      <c r="S302" s="996">
        <f t="shared" si="10"/>
        <v>5.2763099999999996</v>
      </c>
      <c r="T302" s="963"/>
      <c r="U302" s="963"/>
      <c r="V302" s="964"/>
    </row>
    <row r="303" spans="2:22" s="508" customFormat="1" ht="17.45" customHeight="1">
      <c r="B303" s="518"/>
      <c r="C303" s="519" t="s">
        <v>755</v>
      </c>
      <c r="D303" s="1065" t="s">
        <v>716</v>
      </c>
      <c r="E303" s="1065"/>
      <c r="F303" s="1065"/>
      <c r="G303" s="1065"/>
      <c r="H303" s="1065"/>
      <c r="I303" s="1065"/>
      <c r="J303" s="1066" t="s">
        <v>698</v>
      </c>
      <c r="K303" s="1066"/>
      <c r="L303" s="1067">
        <v>4.2700000000000002E-2</v>
      </c>
      <c r="M303" s="1067"/>
      <c r="N303" s="1067"/>
      <c r="O303" s="1068">
        <v>117.29</v>
      </c>
      <c r="P303" s="1068"/>
      <c r="Q303" s="1068"/>
      <c r="R303" s="1068"/>
      <c r="S303" s="996">
        <f t="shared" si="10"/>
        <v>5.0082830000000005</v>
      </c>
      <c r="T303" s="963"/>
      <c r="U303" s="963"/>
      <c r="V303" s="964"/>
    </row>
    <row r="304" spans="2:22" s="508" customFormat="1" ht="17.45" customHeight="1">
      <c r="B304" s="518"/>
      <c r="C304" s="519">
        <v>96155</v>
      </c>
      <c r="D304" s="1065" t="s">
        <v>716</v>
      </c>
      <c r="E304" s="1065"/>
      <c r="F304" s="1065"/>
      <c r="G304" s="1065"/>
      <c r="H304" s="1065"/>
      <c r="I304" s="1065"/>
      <c r="J304" s="1066" t="s">
        <v>706</v>
      </c>
      <c r="K304" s="1066"/>
      <c r="L304" s="1067">
        <v>0.13389999999999999</v>
      </c>
      <c r="M304" s="1067"/>
      <c r="N304" s="1067"/>
      <c r="O304" s="1068">
        <v>34.9</v>
      </c>
      <c r="P304" s="1068"/>
      <c r="Q304" s="1068"/>
      <c r="R304" s="1068"/>
      <c r="S304" s="996">
        <f t="shared" si="10"/>
        <v>4.6731099999999994</v>
      </c>
      <c r="T304" s="963"/>
      <c r="U304" s="963"/>
      <c r="V304" s="964"/>
    </row>
    <row r="305" spans="2:22" s="508" customFormat="1" ht="17.45" customHeight="1">
      <c r="B305" s="518"/>
      <c r="C305" s="519" t="s">
        <v>727</v>
      </c>
      <c r="D305" s="1065" t="s">
        <v>728</v>
      </c>
      <c r="E305" s="1065"/>
      <c r="F305" s="1065"/>
      <c r="G305" s="1065"/>
      <c r="H305" s="1065"/>
      <c r="I305" s="1065"/>
      <c r="J305" s="1066" t="s">
        <v>698</v>
      </c>
      <c r="K305" s="1066"/>
      <c r="L305" s="1067">
        <v>4.9500000000000002E-2</v>
      </c>
      <c r="M305" s="1067"/>
      <c r="N305" s="1067"/>
      <c r="O305" s="1068">
        <v>190.44</v>
      </c>
      <c r="P305" s="1068"/>
      <c r="Q305" s="1068"/>
      <c r="R305" s="1068"/>
      <c r="S305" s="996">
        <f t="shared" si="10"/>
        <v>9.4267800000000008</v>
      </c>
      <c r="T305" s="963"/>
      <c r="U305" s="963"/>
      <c r="V305" s="964"/>
    </row>
    <row r="306" spans="2:22" s="508" customFormat="1" ht="17.45" customHeight="1">
      <c r="B306" s="518"/>
      <c r="C306" s="519" t="s">
        <v>729</v>
      </c>
      <c r="D306" s="1065" t="s">
        <v>728</v>
      </c>
      <c r="E306" s="1065"/>
      <c r="F306" s="1065"/>
      <c r="G306" s="1065"/>
      <c r="H306" s="1065"/>
      <c r="I306" s="1065"/>
      <c r="J306" s="1066" t="s">
        <v>706</v>
      </c>
      <c r="K306" s="1066"/>
      <c r="L306" s="1067">
        <v>0.30370000000000003</v>
      </c>
      <c r="M306" s="1067"/>
      <c r="N306" s="1067"/>
      <c r="O306" s="1068">
        <v>70.06</v>
      </c>
      <c r="P306" s="1068"/>
      <c r="Q306" s="1068"/>
      <c r="R306" s="1068"/>
      <c r="S306" s="996">
        <f t="shared" si="10"/>
        <v>21.277222000000002</v>
      </c>
      <c r="T306" s="963"/>
      <c r="U306" s="963"/>
      <c r="V306" s="964"/>
    </row>
    <row r="307" spans="2:22" s="508" customFormat="1" ht="17.45" customHeight="1">
      <c r="B307" s="520"/>
      <c r="C307" s="521">
        <v>1518</v>
      </c>
      <c r="D307" s="1069" t="s">
        <v>756</v>
      </c>
      <c r="E307" s="1069"/>
      <c r="F307" s="1069"/>
      <c r="G307" s="1069"/>
      <c r="H307" s="1069"/>
      <c r="I307" s="1069"/>
      <c r="J307" s="1070" t="s">
        <v>757</v>
      </c>
      <c r="K307" s="1070"/>
      <c r="L307" s="1071">
        <v>2.5548000000000002</v>
      </c>
      <c r="M307" s="1071"/>
      <c r="N307" s="1071"/>
      <c r="O307" s="1072">
        <v>457.5</v>
      </c>
      <c r="P307" s="1072"/>
      <c r="Q307" s="1072"/>
      <c r="R307" s="1072"/>
      <c r="S307" s="1024">
        <f t="shared" si="10"/>
        <v>1168.8210000000001</v>
      </c>
      <c r="T307" s="1025"/>
      <c r="U307" s="1025"/>
      <c r="V307" s="1026"/>
    </row>
    <row r="308" spans="2:22" s="508" customFormat="1" ht="17.45" customHeight="1">
      <c r="B308" s="965"/>
      <c r="C308" s="965"/>
      <c r="D308" s="965"/>
      <c r="E308" s="965"/>
      <c r="F308" s="965"/>
      <c r="G308" s="965"/>
      <c r="H308" s="965"/>
      <c r="I308" s="966" t="s">
        <v>645</v>
      </c>
      <c r="J308" s="966"/>
      <c r="K308" s="966"/>
      <c r="L308" s="966"/>
      <c r="M308" s="966"/>
      <c r="N308" s="966"/>
      <c r="O308" s="966"/>
      <c r="P308" s="966"/>
      <c r="Q308" s="966"/>
      <c r="R308" s="966"/>
      <c r="S308" s="1029">
        <f>SUM(S297:V307)</f>
        <v>1306.0098410000001</v>
      </c>
      <c r="T308" s="1029"/>
      <c r="U308" s="1029"/>
      <c r="V308" s="1029"/>
    </row>
    <row r="309" spans="2:22" s="508" customFormat="1" ht="17.45" customHeight="1">
      <c r="B309" s="967"/>
      <c r="C309" s="967"/>
      <c r="D309" s="967"/>
      <c r="E309" s="967"/>
      <c r="F309" s="967"/>
      <c r="G309" s="967"/>
      <c r="H309" s="967"/>
      <c r="I309" s="967"/>
      <c r="J309" s="967"/>
      <c r="K309" s="967"/>
      <c r="L309" s="967"/>
      <c r="M309" s="967"/>
      <c r="N309" s="967"/>
      <c r="O309" s="967"/>
      <c r="P309" s="967"/>
      <c r="Q309" s="967"/>
      <c r="R309" s="967"/>
      <c r="S309" s="967"/>
      <c r="T309" s="967"/>
      <c r="U309" s="967"/>
      <c r="V309" s="967"/>
    </row>
    <row r="310" spans="2:22" s="508" customFormat="1" ht="17.45" customHeight="1">
      <c r="B310" s="968"/>
      <c r="C310" s="968"/>
      <c r="D310" s="968"/>
      <c r="E310" s="968"/>
      <c r="F310" s="968"/>
      <c r="G310" s="968"/>
      <c r="H310" s="968"/>
      <c r="I310" s="969" t="s">
        <v>646</v>
      </c>
      <c r="J310" s="969"/>
      <c r="K310" s="969"/>
      <c r="L310" s="969"/>
      <c r="M310" s="969"/>
      <c r="N310" s="969"/>
      <c r="O310" s="969"/>
      <c r="P310" s="969"/>
      <c r="Q310" s="969"/>
      <c r="R310" s="969"/>
      <c r="S310" s="963">
        <f>S308</f>
        <v>1306.0098410000001</v>
      </c>
      <c r="T310" s="963"/>
      <c r="U310" s="963"/>
      <c r="V310" s="964"/>
    </row>
    <row r="311" spans="2:22" s="508" customFormat="1" ht="17.45" customHeight="1">
      <c r="B311" s="968"/>
      <c r="C311" s="968"/>
      <c r="D311" s="968"/>
      <c r="E311" s="968"/>
      <c r="F311" s="968"/>
      <c r="G311" s="968"/>
      <c r="H311" s="969" t="s">
        <v>647</v>
      </c>
      <c r="I311" s="969"/>
      <c r="J311" s="969"/>
      <c r="K311" s="969"/>
      <c r="L311" s="969"/>
      <c r="M311" s="970">
        <v>20.7</v>
      </c>
      <c r="N311" s="970"/>
      <c r="O311" s="970"/>
      <c r="P311" s="969" t="s">
        <v>648</v>
      </c>
      <c r="Q311" s="969"/>
      <c r="R311" s="969"/>
      <c r="S311" s="963">
        <f>S310*M311%</f>
        <v>270.344037087</v>
      </c>
      <c r="T311" s="963"/>
      <c r="U311" s="963"/>
      <c r="V311" s="964"/>
    </row>
    <row r="312" spans="2:22" s="508" customFormat="1" ht="17.45" customHeight="1">
      <c r="B312" s="968"/>
      <c r="C312" s="968"/>
      <c r="D312" s="968"/>
      <c r="E312" s="968"/>
      <c r="F312" s="968"/>
      <c r="G312" s="968"/>
      <c r="H312" s="968"/>
      <c r="I312" s="969" t="s">
        <v>649</v>
      </c>
      <c r="J312" s="969"/>
      <c r="K312" s="969"/>
      <c r="L312" s="969"/>
      <c r="M312" s="969"/>
      <c r="N312" s="969"/>
      <c r="O312" s="969"/>
      <c r="P312" s="969"/>
      <c r="Q312" s="969"/>
      <c r="R312" s="969"/>
      <c r="S312" s="963">
        <f>S310+S311</f>
        <v>1576.3538780870001</v>
      </c>
      <c r="T312" s="963"/>
      <c r="U312" s="963"/>
      <c r="V312" s="964"/>
    </row>
    <row r="313" spans="2:22" s="508" customFormat="1" ht="144.94999999999999" customHeight="1">
      <c r="B313" s="522"/>
      <c r="C313" s="523"/>
      <c r="D313" s="524"/>
      <c r="E313" s="524"/>
      <c r="F313" s="524"/>
      <c r="G313" s="524"/>
      <c r="H313" s="524"/>
      <c r="I313" s="524"/>
      <c r="J313" s="524"/>
      <c r="K313" s="523"/>
      <c r="L313" s="523"/>
      <c r="M313" s="523"/>
      <c r="N313" s="523"/>
      <c r="O313" s="523"/>
      <c r="P313" s="523"/>
      <c r="Q313" s="523"/>
      <c r="R313" s="523"/>
      <c r="S313" s="523"/>
      <c r="T313" s="523"/>
      <c r="U313" s="523"/>
      <c r="V313" s="525"/>
    </row>
    <row r="314" spans="2:22" s="508" customFormat="1" ht="144.94999999999999" customHeight="1">
      <c r="B314" s="522"/>
      <c r="C314" s="523"/>
      <c r="D314" s="524"/>
      <c r="E314" s="524"/>
      <c r="F314" s="524"/>
      <c r="G314" s="524"/>
      <c r="H314" s="524"/>
      <c r="I314" s="524"/>
      <c r="J314" s="524"/>
      <c r="K314" s="523"/>
      <c r="L314" s="523"/>
      <c r="M314" s="523"/>
      <c r="N314" s="523"/>
      <c r="O314" s="523"/>
      <c r="P314" s="523"/>
      <c r="Q314" s="523"/>
      <c r="R314" s="523"/>
      <c r="S314" s="523"/>
      <c r="T314" s="523"/>
      <c r="U314" s="523"/>
      <c r="V314" s="525"/>
    </row>
    <row r="315" spans="2:22" s="508" customFormat="1" ht="144.94999999999999" customHeight="1">
      <c r="B315" s="522"/>
      <c r="C315" s="523"/>
      <c r="D315" s="524"/>
      <c r="E315" s="524"/>
      <c r="F315" s="524"/>
      <c r="G315" s="524"/>
      <c r="H315" s="524"/>
      <c r="I315" s="524"/>
      <c r="J315" s="524"/>
      <c r="K315" s="523"/>
      <c r="L315" s="523"/>
      <c r="M315" s="523"/>
      <c r="N315" s="523"/>
      <c r="O315" s="523"/>
      <c r="P315" s="523"/>
      <c r="Q315" s="523"/>
      <c r="R315" s="523"/>
      <c r="S315" s="523"/>
      <c r="T315" s="523"/>
      <c r="U315" s="523"/>
      <c r="V315" s="525"/>
    </row>
    <row r="316" spans="2:22" s="508" customFormat="1" ht="17.45" customHeight="1">
      <c r="B316" s="512"/>
      <c r="C316" s="513"/>
      <c r="D316" s="526"/>
      <c r="E316" s="526"/>
      <c r="F316" s="526"/>
      <c r="G316" s="526"/>
      <c r="H316" s="526"/>
      <c r="I316" s="526"/>
      <c r="J316" s="526"/>
      <c r="K316" s="513"/>
      <c r="L316" s="513"/>
      <c r="M316" s="513"/>
      <c r="N316" s="513"/>
      <c r="O316" s="513"/>
      <c r="P316" s="513"/>
      <c r="Q316" s="513"/>
      <c r="R316" s="513"/>
      <c r="S316" s="513"/>
      <c r="T316" s="513"/>
      <c r="U316" s="513"/>
      <c r="V316" s="515"/>
    </row>
    <row r="317" spans="2:22" s="508" customFormat="1" ht="17.45" customHeight="1">
      <c r="B317" s="530"/>
      <c r="C317" s="999" t="s">
        <v>617</v>
      </c>
      <c r="D317" s="999"/>
      <c r="E317" s="999"/>
      <c r="F317" s="505"/>
      <c r="G317" s="1000" t="s">
        <v>821</v>
      </c>
      <c r="H317" s="1000"/>
      <c r="I317" s="1000"/>
      <c r="J317" s="1000"/>
      <c r="K317" s="1000"/>
      <c r="L317" s="1000"/>
      <c r="M317" s="506"/>
      <c r="N317" s="1000" t="s">
        <v>618</v>
      </c>
      <c r="O317" s="1000"/>
      <c r="P317" s="1000"/>
      <c r="Q317" s="1000"/>
      <c r="R317" s="1000"/>
      <c r="S317" s="1000"/>
      <c r="T317" s="1000"/>
      <c r="U317" s="1000"/>
      <c r="V317" s="507"/>
    </row>
    <row r="318" spans="2:22" s="508" customFormat="1" ht="17.45" customHeight="1">
      <c r="B318" s="509"/>
      <c r="C318" s="999" t="s">
        <v>619</v>
      </c>
      <c r="D318" s="999"/>
      <c r="E318" s="1030" t="s">
        <v>758</v>
      </c>
      <c r="F318" s="1030"/>
      <c r="G318" s="1030"/>
      <c r="H318" s="1030"/>
      <c r="I318" s="1030"/>
      <c r="J318" s="1030"/>
      <c r="K318" s="1005" t="s">
        <v>620</v>
      </c>
      <c r="L318" s="1005"/>
      <c r="M318" s="510"/>
      <c r="N318" s="1006" t="s">
        <v>759</v>
      </c>
      <c r="O318" s="1006"/>
      <c r="P318" s="1006"/>
      <c r="Q318" s="510"/>
      <c r="R318" s="510"/>
      <c r="S318" s="510"/>
      <c r="T318" s="510"/>
      <c r="U318" s="510"/>
      <c r="V318" s="511"/>
    </row>
    <row r="319" spans="2:22" s="508" customFormat="1" ht="17.45" customHeight="1">
      <c r="B319" s="512"/>
      <c r="C319" s="999"/>
      <c r="D319" s="999"/>
      <c r="E319" s="1030"/>
      <c r="F319" s="1030"/>
      <c r="G319" s="1030"/>
      <c r="H319" s="1030"/>
      <c r="I319" s="1030"/>
      <c r="J319" s="1030"/>
      <c r="K319" s="1007" t="s">
        <v>622</v>
      </c>
      <c r="L319" s="1007"/>
      <c r="M319" s="513"/>
      <c r="N319" s="1008">
        <v>1</v>
      </c>
      <c r="O319" s="1008"/>
      <c r="P319" s="1008"/>
      <c r="Q319" s="513"/>
      <c r="R319" s="1007" t="s">
        <v>623</v>
      </c>
      <c r="S319" s="1007"/>
      <c r="T319" s="513"/>
      <c r="U319" s="514" t="s">
        <v>630</v>
      </c>
      <c r="V319" s="515"/>
    </row>
    <row r="320" spans="2:22" s="508" customFormat="1" ht="17.45" customHeight="1">
      <c r="B320" s="997" t="s">
        <v>625</v>
      </c>
      <c r="C320" s="997"/>
      <c r="D320" s="998" t="s">
        <v>259</v>
      </c>
      <c r="E320" s="998"/>
      <c r="F320" s="998"/>
      <c r="G320" s="998"/>
      <c r="H320" s="998"/>
      <c r="I320" s="998"/>
      <c r="J320" s="997" t="s">
        <v>266</v>
      </c>
      <c r="K320" s="997"/>
      <c r="L320" s="997" t="s">
        <v>270</v>
      </c>
      <c r="M320" s="997"/>
      <c r="N320" s="997"/>
      <c r="O320" s="998" t="s">
        <v>626</v>
      </c>
      <c r="P320" s="998"/>
      <c r="Q320" s="998"/>
      <c r="R320" s="998"/>
      <c r="S320" s="998" t="s">
        <v>627</v>
      </c>
      <c r="T320" s="998"/>
      <c r="U320" s="998"/>
      <c r="V320" s="998"/>
    </row>
    <row r="321" spans="2:22" s="508" customFormat="1" ht="17.45" customHeight="1">
      <c r="B321" s="527"/>
      <c r="C321" s="533">
        <v>5811</v>
      </c>
      <c r="D321" s="1031" t="s">
        <v>761</v>
      </c>
      <c r="E321" s="1031"/>
      <c r="F321" s="1031"/>
      <c r="G321" s="1031"/>
      <c r="H321" s="1031"/>
      <c r="I321" s="1031"/>
      <c r="J321" s="1074" t="s">
        <v>698</v>
      </c>
      <c r="K321" s="1074"/>
      <c r="L321" s="1032">
        <v>3.4799999999999998E-2</v>
      </c>
      <c r="M321" s="1032"/>
      <c r="N321" s="1032"/>
      <c r="O321" s="1034">
        <v>180.88</v>
      </c>
      <c r="P321" s="1034"/>
      <c r="Q321" s="1034"/>
      <c r="R321" s="1034"/>
      <c r="S321" s="1035">
        <f>L321*O321</f>
        <v>6.2946239999999998</v>
      </c>
      <c r="T321" s="1035"/>
      <c r="U321" s="1035"/>
      <c r="V321" s="1035"/>
    </row>
    <row r="322" spans="2:22" s="508" customFormat="1" ht="17.45" customHeight="1">
      <c r="B322" s="965"/>
      <c r="C322" s="965"/>
      <c r="D322" s="965"/>
      <c r="E322" s="965"/>
      <c r="F322" s="965"/>
      <c r="G322" s="965"/>
      <c r="H322" s="965"/>
      <c r="I322" s="966" t="s">
        <v>645</v>
      </c>
      <c r="J322" s="966"/>
      <c r="K322" s="966"/>
      <c r="L322" s="966"/>
      <c r="M322" s="966"/>
      <c r="N322" s="966"/>
      <c r="O322" s="966"/>
      <c r="P322" s="966"/>
      <c r="Q322" s="966"/>
      <c r="R322" s="966"/>
      <c r="S322" s="1029">
        <f>SUM(S321)</f>
        <v>6.2946239999999998</v>
      </c>
      <c r="T322" s="1029"/>
      <c r="U322" s="1029"/>
      <c r="V322" s="1029"/>
    </row>
    <row r="323" spans="2:22" s="508" customFormat="1" ht="17.45" customHeight="1">
      <c r="B323" s="967"/>
      <c r="C323" s="967"/>
      <c r="D323" s="967"/>
      <c r="E323" s="967"/>
      <c r="F323" s="967"/>
      <c r="G323" s="967"/>
      <c r="H323" s="967"/>
      <c r="I323" s="967"/>
      <c r="J323" s="967"/>
      <c r="K323" s="967"/>
      <c r="L323" s="967"/>
      <c r="M323" s="967"/>
      <c r="N323" s="967"/>
      <c r="O323" s="967"/>
      <c r="P323" s="967"/>
      <c r="Q323" s="967"/>
      <c r="R323" s="967"/>
      <c r="S323" s="967"/>
      <c r="T323" s="967"/>
      <c r="U323" s="967"/>
      <c r="V323" s="967"/>
    </row>
    <row r="324" spans="2:22" s="508" customFormat="1" ht="17.45" customHeight="1">
      <c r="B324" s="968"/>
      <c r="C324" s="968"/>
      <c r="D324" s="968"/>
      <c r="E324" s="968"/>
      <c r="F324" s="968"/>
      <c r="G324" s="968"/>
      <c r="H324" s="968"/>
      <c r="I324" s="969" t="s">
        <v>646</v>
      </c>
      <c r="J324" s="969"/>
      <c r="K324" s="969"/>
      <c r="L324" s="969"/>
      <c r="M324" s="969"/>
      <c r="N324" s="969"/>
      <c r="O324" s="969"/>
      <c r="P324" s="969"/>
      <c r="Q324" s="969"/>
      <c r="R324" s="969"/>
      <c r="S324" s="963">
        <f>S322</f>
        <v>6.2946239999999998</v>
      </c>
      <c r="T324" s="963"/>
      <c r="U324" s="963"/>
      <c r="V324" s="964"/>
    </row>
    <row r="325" spans="2:22" s="508" customFormat="1" ht="17.45" customHeight="1">
      <c r="B325" s="968"/>
      <c r="C325" s="968"/>
      <c r="D325" s="968"/>
      <c r="E325" s="968"/>
      <c r="F325" s="968"/>
      <c r="G325" s="968"/>
      <c r="H325" s="969" t="s">
        <v>647</v>
      </c>
      <c r="I325" s="969"/>
      <c r="J325" s="969"/>
      <c r="K325" s="969"/>
      <c r="L325" s="969"/>
      <c r="M325" s="970">
        <v>20.7</v>
      </c>
      <c r="N325" s="970"/>
      <c r="O325" s="970"/>
      <c r="P325" s="969" t="s">
        <v>648</v>
      </c>
      <c r="Q325" s="969"/>
      <c r="R325" s="969"/>
      <c r="S325" s="963">
        <f>S324*M325%</f>
        <v>1.3029871679999998</v>
      </c>
      <c r="T325" s="963"/>
      <c r="U325" s="963"/>
      <c r="V325" s="964"/>
    </row>
    <row r="326" spans="2:22" s="508" customFormat="1" ht="17.45" customHeight="1">
      <c r="B326" s="968"/>
      <c r="C326" s="968"/>
      <c r="D326" s="968"/>
      <c r="E326" s="968"/>
      <c r="F326" s="968"/>
      <c r="G326" s="968"/>
      <c r="H326" s="968"/>
      <c r="I326" s="969" t="s">
        <v>649</v>
      </c>
      <c r="J326" s="969"/>
      <c r="K326" s="969"/>
      <c r="L326" s="969"/>
      <c r="M326" s="969"/>
      <c r="N326" s="969"/>
      <c r="O326" s="969"/>
      <c r="P326" s="969"/>
      <c r="Q326" s="969"/>
      <c r="R326" s="969"/>
      <c r="S326" s="963">
        <f>S324+S325</f>
        <v>7.5976111679999994</v>
      </c>
      <c r="T326" s="963"/>
      <c r="U326" s="963"/>
      <c r="V326" s="964"/>
    </row>
    <row r="327" spans="2:22" s="508" customFormat="1" ht="144.94999999999999" customHeight="1">
      <c r="B327" s="522"/>
      <c r="C327" s="523"/>
      <c r="D327" s="524"/>
      <c r="E327" s="524"/>
      <c r="F327" s="524"/>
      <c r="G327" s="524"/>
      <c r="H327" s="524"/>
      <c r="I327" s="524"/>
      <c r="J327" s="524"/>
      <c r="K327" s="523"/>
      <c r="L327" s="523"/>
      <c r="M327" s="523"/>
      <c r="N327" s="523"/>
      <c r="O327" s="523"/>
      <c r="P327" s="523"/>
      <c r="Q327" s="523"/>
      <c r="R327" s="523"/>
      <c r="S327" s="523"/>
      <c r="T327" s="523"/>
      <c r="U327" s="523"/>
      <c r="V327" s="525"/>
    </row>
    <row r="328" spans="2:22" s="508" customFormat="1" ht="144.94999999999999" customHeight="1">
      <c r="B328" s="522"/>
      <c r="C328" s="523"/>
      <c r="D328" s="524"/>
      <c r="E328" s="524"/>
      <c r="F328" s="524"/>
      <c r="G328" s="524"/>
      <c r="H328" s="524"/>
      <c r="I328" s="524"/>
      <c r="J328" s="524"/>
      <c r="K328" s="523"/>
      <c r="L328" s="523"/>
      <c r="M328" s="523"/>
      <c r="N328" s="523"/>
      <c r="O328" s="523"/>
      <c r="P328" s="523"/>
      <c r="Q328" s="523"/>
      <c r="R328" s="523"/>
      <c r="S328" s="523"/>
      <c r="T328" s="523"/>
      <c r="U328" s="523"/>
      <c r="V328" s="525"/>
    </row>
    <row r="329" spans="2:22" s="508" customFormat="1" ht="144.94999999999999" customHeight="1">
      <c r="B329" s="522"/>
      <c r="C329" s="523"/>
      <c r="D329" s="524"/>
      <c r="E329" s="524"/>
      <c r="F329" s="524"/>
      <c r="G329" s="524"/>
      <c r="H329" s="524"/>
      <c r="I329" s="524"/>
      <c r="J329" s="524"/>
      <c r="K329" s="523"/>
      <c r="L329" s="523"/>
      <c r="M329" s="523"/>
      <c r="N329" s="523"/>
      <c r="O329" s="523"/>
      <c r="P329" s="523"/>
      <c r="Q329" s="523"/>
      <c r="R329" s="523"/>
      <c r="S329" s="523"/>
      <c r="T329" s="523"/>
      <c r="U329" s="523"/>
      <c r="V329" s="525"/>
    </row>
    <row r="330" spans="2:22" s="508" customFormat="1" ht="17.45" customHeight="1">
      <c r="B330" s="522"/>
      <c r="C330" s="523"/>
      <c r="D330" s="524"/>
      <c r="E330" s="524"/>
      <c r="F330" s="524"/>
      <c r="G330" s="524"/>
      <c r="H330" s="524"/>
      <c r="I330" s="524"/>
      <c r="J330" s="524"/>
      <c r="K330" s="523"/>
      <c r="L330" s="523"/>
      <c r="M330" s="523"/>
      <c r="N330" s="523"/>
      <c r="O330" s="523"/>
      <c r="P330" s="523"/>
      <c r="Q330" s="523"/>
      <c r="R330" s="523"/>
      <c r="S330" s="523"/>
      <c r="T330" s="523"/>
      <c r="U330" s="523"/>
      <c r="V330" s="525"/>
    </row>
    <row r="331" spans="2:22" s="508" customFormat="1" ht="17.45" customHeight="1">
      <c r="B331" s="512"/>
      <c r="C331" s="513"/>
      <c r="D331" s="526"/>
      <c r="E331" s="526"/>
      <c r="F331" s="526"/>
      <c r="G331" s="526"/>
      <c r="H331" s="526"/>
      <c r="I331" s="526"/>
      <c r="J331" s="526"/>
      <c r="K331" s="513"/>
      <c r="L331" s="513"/>
      <c r="M331" s="513"/>
      <c r="N331" s="513"/>
      <c r="O331" s="513"/>
      <c r="P331" s="513"/>
      <c r="Q331" s="513"/>
      <c r="R331" s="513"/>
      <c r="S331" s="513"/>
      <c r="T331" s="513"/>
      <c r="U331" s="513"/>
      <c r="V331" s="515"/>
    </row>
    <row r="332" spans="2:22" s="508" customFormat="1" ht="17.45" customHeight="1">
      <c r="B332" s="530"/>
      <c r="C332" s="999" t="s">
        <v>617</v>
      </c>
      <c r="D332" s="999"/>
      <c r="E332" s="999"/>
      <c r="F332" s="505"/>
      <c r="G332" s="1000" t="s">
        <v>821</v>
      </c>
      <c r="H332" s="1000"/>
      <c r="I332" s="1000"/>
      <c r="J332" s="1000"/>
      <c r="K332" s="1000"/>
      <c r="L332" s="1000"/>
      <c r="M332" s="506"/>
      <c r="N332" s="1000" t="s">
        <v>618</v>
      </c>
      <c r="O332" s="1000"/>
      <c r="P332" s="1000"/>
      <c r="Q332" s="1000"/>
      <c r="R332" s="1000"/>
      <c r="S332" s="1000"/>
      <c r="T332" s="1000"/>
      <c r="U332" s="1000"/>
      <c r="V332" s="507"/>
    </row>
    <row r="333" spans="2:22" s="508" customFormat="1" ht="17.45" customHeight="1">
      <c r="B333" s="509"/>
      <c r="C333" s="999" t="s">
        <v>619</v>
      </c>
      <c r="D333" s="999"/>
      <c r="E333" s="1030" t="s">
        <v>762</v>
      </c>
      <c r="F333" s="1030"/>
      <c r="G333" s="1030"/>
      <c r="H333" s="1030"/>
      <c r="I333" s="1030"/>
      <c r="J333" s="1030"/>
      <c r="K333" s="1005" t="s">
        <v>620</v>
      </c>
      <c r="L333" s="1005"/>
      <c r="M333" s="510"/>
      <c r="N333" s="1006" t="s">
        <v>763</v>
      </c>
      <c r="O333" s="1006"/>
      <c r="P333" s="1006"/>
      <c r="Q333" s="510"/>
      <c r="R333" s="510"/>
      <c r="S333" s="510"/>
      <c r="T333" s="510"/>
      <c r="U333" s="510"/>
      <c r="V333" s="511"/>
    </row>
    <row r="334" spans="2:22" s="508" customFormat="1" ht="17.45" customHeight="1">
      <c r="B334" s="512"/>
      <c r="C334" s="999"/>
      <c r="D334" s="999"/>
      <c r="E334" s="1030"/>
      <c r="F334" s="1030"/>
      <c r="G334" s="1030"/>
      <c r="H334" s="1030"/>
      <c r="I334" s="1030"/>
      <c r="J334" s="1030"/>
      <c r="K334" s="1007" t="s">
        <v>622</v>
      </c>
      <c r="L334" s="1007"/>
      <c r="M334" s="513"/>
      <c r="N334" s="1008">
        <v>1</v>
      </c>
      <c r="O334" s="1008"/>
      <c r="P334" s="1008"/>
      <c r="Q334" s="513"/>
      <c r="R334" s="1007" t="s">
        <v>623</v>
      </c>
      <c r="S334" s="1007"/>
      <c r="T334" s="513"/>
      <c r="U334" s="514" t="s">
        <v>175</v>
      </c>
      <c r="V334" s="515"/>
    </row>
    <row r="335" spans="2:22" s="508" customFormat="1" ht="17.45" customHeight="1">
      <c r="B335" s="997" t="s">
        <v>625</v>
      </c>
      <c r="C335" s="997"/>
      <c r="D335" s="998" t="s">
        <v>259</v>
      </c>
      <c r="E335" s="998"/>
      <c r="F335" s="998"/>
      <c r="G335" s="998"/>
      <c r="H335" s="998"/>
      <c r="I335" s="998"/>
      <c r="J335" s="997" t="s">
        <v>266</v>
      </c>
      <c r="K335" s="997"/>
      <c r="L335" s="997" t="s">
        <v>270</v>
      </c>
      <c r="M335" s="997"/>
      <c r="N335" s="997"/>
      <c r="O335" s="998" t="s">
        <v>626</v>
      </c>
      <c r="P335" s="998"/>
      <c r="Q335" s="998"/>
      <c r="R335" s="998"/>
      <c r="S335" s="998" t="s">
        <v>627</v>
      </c>
      <c r="T335" s="998"/>
      <c r="U335" s="998"/>
      <c r="V335" s="998"/>
    </row>
    <row r="336" spans="2:22" s="508" customFormat="1" ht="17.45" customHeight="1">
      <c r="B336" s="527"/>
      <c r="C336" s="533" t="s">
        <v>704</v>
      </c>
      <c r="D336" s="1031" t="s">
        <v>705</v>
      </c>
      <c r="E336" s="1031"/>
      <c r="F336" s="1031"/>
      <c r="G336" s="1031"/>
      <c r="H336" s="1031"/>
      <c r="I336" s="1031"/>
      <c r="J336" s="1074" t="s">
        <v>698</v>
      </c>
      <c r="K336" s="1074"/>
      <c r="L336" s="1032">
        <v>5.9172000000000001E-3</v>
      </c>
      <c r="M336" s="1032"/>
      <c r="N336" s="1032"/>
      <c r="O336" s="1034">
        <v>180.94</v>
      </c>
      <c r="P336" s="1034"/>
      <c r="Q336" s="1034"/>
      <c r="R336" s="1034"/>
      <c r="S336" s="1035">
        <f>L336*O336</f>
        <v>1.070658168</v>
      </c>
      <c r="T336" s="1035"/>
      <c r="U336" s="1035"/>
      <c r="V336" s="1035"/>
    </row>
    <row r="337" spans="2:22" s="508" customFormat="1" ht="17.45" customHeight="1">
      <c r="B337" s="965"/>
      <c r="C337" s="965"/>
      <c r="D337" s="965"/>
      <c r="E337" s="965"/>
      <c r="F337" s="965"/>
      <c r="G337" s="965"/>
      <c r="H337" s="965"/>
      <c r="I337" s="966" t="s">
        <v>645</v>
      </c>
      <c r="J337" s="966"/>
      <c r="K337" s="966"/>
      <c r="L337" s="966"/>
      <c r="M337" s="966"/>
      <c r="N337" s="966"/>
      <c r="O337" s="966"/>
      <c r="P337" s="966"/>
      <c r="Q337" s="966"/>
      <c r="R337" s="966"/>
      <c r="S337" s="1029">
        <f>SUM(S336)</f>
        <v>1.070658168</v>
      </c>
      <c r="T337" s="1029"/>
      <c r="U337" s="1029"/>
      <c r="V337" s="1029"/>
    </row>
    <row r="338" spans="2:22" s="508" customFormat="1" ht="17.45" customHeight="1">
      <c r="B338" s="967"/>
      <c r="C338" s="967"/>
      <c r="D338" s="967"/>
      <c r="E338" s="967"/>
      <c r="F338" s="967"/>
      <c r="G338" s="967"/>
      <c r="H338" s="967"/>
      <c r="I338" s="967"/>
      <c r="J338" s="967"/>
      <c r="K338" s="967"/>
      <c r="L338" s="967"/>
      <c r="M338" s="967"/>
      <c r="N338" s="967"/>
      <c r="O338" s="967"/>
      <c r="P338" s="967"/>
      <c r="Q338" s="967"/>
      <c r="R338" s="967"/>
      <c r="S338" s="967"/>
      <c r="T338" s="967"/>
      <c r="U338" s="967"/>
      <c r="V338" s="967"/>
    </row>
    <row r="339" spans="2:22" s="508" customFormat="1" ht="17.45" customHeight="1">
      <c r="B339" s="968"/>
      <c r="C339" s="968"/>
      <c r="D339" s="968"/>
      <c r="E339" s="968"/>
      <c r="F339" s="968"/>
      <c r="G339" s="968"/>
      <c r="H339" s="968"/>
      <c r="I339" s="969" t="s">
        <v>646</v>
      </c>
      <c r="J339" s="969"/>
      <c r="K339" s="969"/>
      <c r="L339" s="969"/>
      <c r="M339" s="969"/>
      <c r="N339" s="969"/>
      <c r="O339" s="969"/>
      <c r="P339" s="969"/>
      <c r="Q339" s="969"/>
      <c r="R339" s="969"/>
      <c r="S339" s="963">
        <f>S337</f>
        <v>1.070658168</v>
      </c>
      <c r="T339" s="963"/>
      <c r="U339" s="963"/>
      <c r="V339" s="964"/>
    </row>
    <row r="340" spans="2:22" s="508" customFormat="1" ht="17.45" customHeight="1">
      <c r="B340" s="968"/>
      <c r="C340" s="968"/>
      <c r="D340" s="968"/>
      <c r="E340" s="968"/>
      <c r="F340" s="968"/>
      <c r="G340" s="968"/>
      <c r="H340" s="969" t="s">
        <v>647</v>
      </c>
      <c r="I340" s="969"/>
      <c r="J340" s="969"/>
      <c r="K340" s="969"/>
      <c r="L340" s="969"/>
      <c r="M340" s="970">
        <v>20.7</v>
      </c>
      <c r="N340" s="970"/>
      <c r="O340" s="970"/>
      <c r="P340" s="969" t="s">
        <v>648</v>
      </c>
      <c r="Q340" s="969"/>
      <c r="R340" s="969"/>
      <c r="S340" s="963">
        <f>S339*M340%</f>
        <v>0.22162624077599999</v>
      </c>
      <c r="T340" s="963"/>
      <c r="U340" s="963"/>
      <c r="V340" s="964"/>
    </row>
    <row r="341" spans="2:22" s="508" customFormat="1" ht="17.45" customHeight="1">
      <c r="B341" s="968"/>
      <c r="C341" s="968"/>
      <c r="D341" s="968"/>
      <c r="E341" s="968"/>
      <c r="F341" s="968"/>
      <c r="G341" s="968"/>
      <c r="H341" s="968"/>
      <c r="I341" s="969" t="s">
        <v>649</v>
      </c>
      <c r="J341" s="969"/>
      <c r="K341" s="969"/>
      <c r="L341" s="969"/>
      <c r="M341" s="969"/>
      <c r="N341" s="969"/>
      <c r="O341" s="969"/>
      <c r="P341" s="969"/>
      <c r="Q341" s="969"/>
      <c r="R341" s="969"/>
      <c r="S341" s="963">
        <f>S339+S340</f>
        <v>1.2922844087759999</v>
      </c>
      <c r="T341" s="963"/>
      <c r="U341" s="963"/>
      <c r="V341" s="964"/>
    </row>
    <row r="342" spans="2:22" s="508" customFormat="1" ht="144.94999999999999" customHeight="1">
      <c r="B342" s="522"/>
      <c r="C342" s="523"/>
      <c r="D342" s="524"/>
      <c r="E342" s="524"/>
      <c r="F342" s="524"/>
      <c r="G342" s="524"/>
      <c r="H342" s="524"/>
      <c r="I342" s="524"/>
      <c r="J342" s="524"/>
      <c r="K342" s="523"/>
      <c r="L342" s="523"/>
      <c r="M342" s="523"/>
      <c r="N342" s="523"/>
      <c r="O342" s="523"/>
      <c r="P342" s="523"/>
      <c r="Q342" s="523"/>
      <c r="R342" s="523"/>
      <c r="S342" s="523"/>
      <c r="T342" s="523"/>
      <c r="U342" s="523"/>
      <c r="V342" s="525"/>
    </row>
    <row r="343" spans="2:22" s="508" customFormat="1" ht="144.94999999999999" customHeight="1">
      <c r="B343" s="522"/>
      <c r="C343" s="523"/>
      <c r="D343" s="524"/>
      <c r="E343" s="524"/>
      <c r="F343" s="524"/>
      <c r="G343" s="524"/>
      <c r="H343" s="524"/>
      <c r="I343" s="524"/>
      <c r="J343" s="524"/>
      <c r="K343" s="523"/>
      <c r="L343" s="523"/>
      <c r="M343" s="523"/>
      <c r="N343" s="523"/>
      <c r="O343" s="523"/>
      <c r="P343" s="523"/>
      <c r="Q343" s="523"/>
      <c r="R343" s="523"/>
      <c r="S343" s="523"/>
      <c r="T343" s="523"/>
      <c r="U343" s="523"/>
      <c r="V343" s="525"/>
    </row>
    <row r="344" spans="2:22" s="508" customFormat="1" ht="144.94999999999999" customHeight="1">
      <c r="B344" s="522"/>
      <c r="C344" s="523"/>
      <c r="D344" s="524"/>
      <c r="E344" s="524"/>
      <c r="F344" s="524"/>
      <c r="G344" s="524"/>
      <c r="H344" s="524"/>
      <c r="I344" s="524"/>
      <c r="J344" s="524"/>
      <c r="K344" s="523"/>
      <c r="L344" s="523"/>
      <c r="M344" s="523"/>
      <c r="N344" s="523"/>
      <c r="O344" s="523"/>
      <c r="P344" s="523"/>
      <c r="Q344" s="523"/>
      <c r="R344" s="523"/>
      <c r="S344" s="523"/>
      <c r="T344" s="523"/>
      <c r="U344" s="523"/>
      <c r="V344" s="525"/>
    </row>
    <row r="345" spans="2:22" s="508" customFormat="1" ht="17.45" customHeight="1">
      <c r="B345" s="522"/>
      <c r="C345" s="523"/>
      <c r="D345" s="524"/>
      <c r="E345" s="524"/>
      <c r="F345" s="524"/>
      <c r="G345" s="524"/>
      <c r="H345" s="524"/>
      <c r="I345" s="524"/>
      <c r="J345" s="524"/>
      <c r="K345" s="523"/>
      <c r="L345" s="523"/>
      <c r="M345" s="523"/>
      <c r="N345" s="523"/>
      <c r="O345" s="523"/>
      <c r="P345" s="523"/>
      <c r="Q345" s="523"/>
      <c r="R345" s="523"/>
      <c r="S345" s="523"/>
      <c r="T345" s="523"/>
      <c r="U345" s="523"/>
      <c r="V345" s="525"/>
    </row>
    <row r="346" spans="2:22" s="508" customFormat="1" ht="17.45" customHeight="1">
      <c r="B346" s="512"/>
      <c r="C346" s="513"/>
      <c r="D346" s="526"/>
      <c r="E346" s="526"/>
      <c r="F346" s="526"/>
      <c r="G346" s="526"/>
      <c r="H346" s="526"/>
      <c r="I346" s="526"/>
      <c r="J346" s="526"/>
      <c r="K346" s="513"/>
      <c r="L346" s="513"/>
      <c r="M346" s="513"/>
      <c r="N346" s="513"/>
      <c r="O346" s="513"/>
      <c r="P346" s="513"/>
      <c r="Q346" s="513"/>
      <c r="R346" s="513"/>
      <c r="S346" s="513"/>
      <c r="T346" s="513"/>
      <c r="U346" s="513"/>
      <c r="V346" s="515"/>
    </row>
    <row r="347" spans="2:22" s="508" customFormat="1" ht="17.45" customHeight="1">
      <c r="B347" s="530"/>
      <c r="C347" s="999" t="s">
        <v>617</v>
      </c>
      <c r="D347" s="999"/>
      <c r="E347" s="999"/>
      <c r="F347" s="505"/>
      <c r="G347" s="1000" t="s">
        <v>821</v>
      </c>
      <c r="H347" s="1000"/>
      <c r="I347" s="1000"/>
      <c r="J347" s="1000"/>
      <c r="K347" s="1000"/>
      <c r="L347" s="1000"/>
      <c r="M347" s="506"/>
      <c r="N347" s="1000" t="s">
        <v>618</v>
      </c>
      <c r="O347" s="1000"/>
      <c r="P347" s="1000"/>
      <c r="Q347" s="1000"/>
      <c r="R347" s="1000"/>
      <c r="S347" s="1000"/>
      <c r="T347" s="1000"/>
      <c r="U347" s="1000"/>
      <c r="V347" s="507"/>
    </row>
    <row r="348" spans="2:22" s="508" customFormat="1" ht="17.45" customHeight="1">
      <c r="B348" s="509"/>
      <c r="C348" s="999" t="s">
        <v>619</v>
      </c>
      <c r="D348" s="999"/>
      <c r="E348" s="1030" t="s">
        <v>764</v>
      </c>
      <c r="F348" s="1030"/>
      <c r="G348" s="1030"/>
      <c r="H348" s="1030"/>
      <c r="I348" s="1030"/>
      <c r="J348" s="1030"/>
      <c r="K348" s="1005" t="s">
        <v>620</v>
      </c>
      <c r="L348" s="1005"/>
      <c r="M348" s="510"/>
      <c r="N348" s="1006" t="s">
        <v>765</v>
      </c>
      <c r="O348" s="1006"/>
      <c r="P348" s="1006"/>
      <c r="Q348" s="510"/>
      <c r="R348" s="510"/>
      <c r="S348" s="510"/>
      <c r="T348" s="510"/>
      <c r="U348" s="510"/>
      <c r="V348" s="511"/>
    </row>
    <row r="349" spans="2:22" s="508" customFormat="1" ht="17.45" customHeight="1">
      <c r="B349" s="512"/>
      <c r="C349" s="999"/>
      <c r="D349" s="999"/>
      <c r="E349" s="1030"/>
      <c r="F349" s="1030"/>
      <c r="G349" s="1030"/>
      <c r="H349" s="1030"/>
      <c r="I349" s="1030"/>
      <c r="J349" s="1030"/>
      <c r="K349" s="1007" t="s">
        <v>622</v>
      </c>
      <c r="L349" s="1007"/>
      <c r="M349" s="513"/>
      <c r="N349" s="1008">
        <v>1</v>
      </c>
      <c r="O349" s="1008"/>
      <c r="P349" s="1008"/>
      <c r="Q349" s="513"/>
      <c r="R349" s="1007" t="s">
        <v>623</v>
      </c>
      <c r="S349" s="1007"/>
      <c r="T349" s="513"/>
      <c r="U349" s="514" t="s">
        <v>624</v>
      </c>
      <c r="V349" s="515"/>
    </row>
    <row r="350" spans="2:22" s="508" customFormat="1" ht="17.45" customHeight="1">
      <c r="B350" s="997" t="s">
        <v>625</v>
      </c>
      <c r="C350" s="997"/>
      <c r="D350" s="998" t="s">
        <v>259</v>
      </c>
      <c r="E350" s="998"/>
      <c r="F350" s="998"/>
      <c r="G350" s="998"/>
      <c r="H350" s="998"/>
      <c r="I350" s="998"/>
      <c r="J350" s="997" t="s">
        <v>266</v>
      </c>
      <c r="K350" s="997"/>
      <c r="L350" s="997" t="s">
        <v>270</v>
      </c>
      <c r="M350" s="997"/>
      <c r="N350" s="997"/>
      <c r="O350" s="998" t="s">
        <v>626</v>
      </c>
      <c r="P350" s="998"/>
      <c r="Q350" s="998"/>
      <c r="R350" s="998"/>
      <c r="S350" s="998" t="s">
        <v>627</v>
      </c>
      <c r="T350" s="998"/>
      <c r="U350" s="998"/>
      <c r="V350" s="998"/>
    </row>
    <row r="351" spans="2:22" s="508" customFormat="1" ht="17.45" customHeight="1">
      <c r="B351" s="516"/>
      <c r="C351" s="517">
        <v>5824</v>
      </c>
      <c r="D351" s="1060" t="s">
        <v>766</v>
      </c>
      <c r="E351" s="1060"/>
      <c r="F351" s="1060"/>
      <c r="G351" s="1060"/>
      <c r="H351" s="1060"/>
      <c r="I351" s="1060"/>
      <c r="J351" s="1061" t="s">
        <v>698</v>
      </c>
      <c r="K351" s="1061"/>
      <c r="L351" s="1062">
        <v>3.333E-3</v>
      </c>
      <c r="M351" s="1062"/>
      <c r="N351" s="1062"/>
      <c r="O351" s="1063">
        <v>171.85</v>
      </c>
      <c r="P351" s="1063"/>
      <c r="Q351" s="1063"/>
      <c r="R351" s="1063"/>
      <c r="S351" s="1064">
        <f>L351*O351</f>
        <v>0.57277604999999998</v>
      </c>
      <c r="T351" s="1064"/>
      <c r="U351" s="1064"/>
      <c r="V351" s="1064"/>
    </row>
    <row r="352" spans="2:22" s="508" customFormat="1" ht="17.45" customHeight="1">
      <c r="B352" s="518"/>
      <c r="C352" s="519" t="s">
        <v>634</v>
      </c>
      <c r="D352" s="1065" t="s">
        <v>635</v>
      </c>
      <c r="E352" s="1065"/>
      <c r="F352" s="1065"/>
      <c r="G352" s="1065"/>
      <c r="H352" s="1065"/>
      <c r="I352" s="1065"/>
      <c r="J352" s="1066" t="s">
        <v>633</v>
      </c>
      <c r="K352" s="1066"/>
      <c r="L352" s="1067">
        <v>3.3329999999999999E-2</v>
      </c>
      <c r="M352" s="1067"/>
      <c r="N352" s="1067"/>
      <c r="O352" s="1068">
        <v>16.829999999999998</v>
      </c>
      <c r="P352" s="1068"/>
      <c r="Q352" s="1068"/>
      <c r="R352" s="1068"/>
      <c r="S352" s="996">
        <f t="shared" ref="S352:S357" si="11">L352*O352</f>
        <v>0.56094389999999994</v>
      </c>
      <c r="T352" s="963"/>
      <c r="U352" s="963"/>
      <c r="V352" s="964"/>
    </row>
    <row r="353" spans="2:22" s="508" customFormat="1" ht="17.45" customHeight="1">
      <c r="B353" s="518"/>
      <c r="C353" s="519">
        <v>95133</v>
      </c>
      <c r="D353" s="1065" t="s">
        <v>767</v>
      </c>
      <c r="E353" s="1065"/>
      <c r="F353" s="1065"/>
      <c r="G353" s="1065"/>
      <c r="H353" s="1065"/>
      <c r="I353" s="1065"/>
      <c r="J353" s="1066" t="s">
        <v>698</v>
      </c>
      <c r="K353" s="1066"/>
      <c r="L353" s="1067">
        <v>3.333E-3</v>
      </c>
      <c r="M353" s="1067"/>
      <c r="N353" s="1067"/>
      <c r="O353" s="1068">
        <v>127.82</v>
      </c>
      <c r="P353" s="1068"/>
      <c r="Q353" s="1068"/>
      <c r="R353" s="1068"/>
      <c r="S353" s="996">
        <f t="shared" si="11"/>
        <v>0.42602405999999998</v>
      </c>
      <c r="T353" s="963"/>
      <c r="U353" s="963"/>
      <c r="V353" s="964"/>
    </row>
    <row r="354" spans="2:22" s="508" customFormat="1" ht="17.45" customHeight="1">
      <c r="B354" s="518"/>
      <c r="C354" s="519">
        <v>44478</v>
      </c>
      <c r="D354" s="1065" t="s">
        <v>768</v>
      </c>
      <c r="E354" s="1065"/>
      <c r="F354" s="1065"/>
      <c r="G354" s="1065"/>
      <c r="H354" s="1065"/>
      <c r="I354" s="1065"/>
      <c r="J354" s="1066" t="s">
        <v>644</v>
      </c>
      <c r="K354" s="1066"/>
      <c r="L354" s="1067">
        <v>0.4</v>
      </c>
      <c r="M354" s="1067"/>
      <c r="N354" s="1067"/>
      <c r="O354" s="1068">
        <v>20.25</v>
      </c>
      <c r="P354" s="1068"/>
      <c r="Q354" s="1068"/>
      <c r="R354" s="1068"/>
      <c r="S354" s="996">
        <f t="shared" si="11"/>
        <v>8.1</v>
      </c>
      <c r="T354" s="963"/>
      <c r="U354" s="963"/>
      <c r="V354" s="964"/>
    </row>
    <row r="355" spans="2:22" s="508" customFormat="1" ht="17.45" customHeight="1">
      <c r="B355" s="518"/>
      <c r="C355" s="519" t="s">
        <v>769</v>
      </c>
      <c r="D355" s="1065" t="s">
        <v>770</v>
      </c>
      <c r="E355" s="1065"/>
      <c r="F355" s="1065"/>
      <c r="G355" s="1065"/>
      <c r="H355" s="1065"/>
      <c r="I355" s="1065"/>
      <c r="J355" s="1066" t="s">
        <v>771</v>
      </c>
      <c r="K355" s="1066"/>
      <c r="L355" s="1067">
        <v>0.13</v>
      </c>
      <c r="M355" s="1067"/>
      <c r="N355" s="1067"/>
      <c r="O355" s="1068">
        <v>13.96</v>
      </c>
      <c r="P355" s="1068"/>
      <c r="Q355" s="1068"/>
      <c r="R355" s="1068"/>
      <c r="S355" s="996">
        <f t="shared" si="11"/>
        <v>1.8148000000000002</v>
      </c>
      <c r="T355" s="963"/>
      <c r="U355" s="963"/>
      <c r="V355" s="964"/>
    </row>
    <row r="356" spans="2:22" s="508" customFormat="1" ht="17.45" customHeight="1">
      <c r="B356" s="518"/>
      <c r="C356" s="519">
        <v>7343</v>
      </c>
      <c r="D356" s="1065" t="s">
        <v>772</v>
      </c>
      <c r="E356" s="1065"/>
      <c r="F356" s="1065"/>
      <c r="G356" s="1065"/>
      <c r="H356" s="1065"/>
      <c r="I356" s="1065"/>
      <c r="J356" s="1066" t="s">
        <v>771</v>
      </c>
      <c r="K356" s="1066"/>
      <c r="L356" s="1067">
        <v>0.6</v>
      </c>
      <c r="M356" s="1067"/>
      <c r="N356" s="1067"/>
      <c r="O356" s="1068">
        <v>6.99</v>
      </c>
      <c r="P356" s="1068"/>
      <c r="Q356" s="1068"/>
      <c r="R356" s="1068"/>
      <c r="S356" s="996">
        <f t="shared" si="11"/>
        <v>4.194</v>
      </c>
      <c r="T356" s="963"/>
      <c r="U356" s="963"/>
      <c r="V356" s="964"/>
    </row>
    <row r="357" spans="2:22" s="508" customFormat="1" ht="17.45" customHeight="1">
      <c r="B357" s="520"/>
      <c r="C357" s="521">
        <v>7348</v>
      </c>
      <c r="D357" s="1069" t="s">
        <v>773</v>
      </c>
      <c r="E357" s="1069"/>
      <c r="F357" s="1069"/>
      <c r="G357" s="1069"/>
      <c r="H357" s="1069"/>
      <c r="I357" s="1069"/>
      <c r="J357" s="1070" t="s">
        <v>771</v>
      </c>
      <c r="K357" s="1070"/>
      <c r="L357" s="1071">
        <v>0.03</v>
      </c>
      <c r="M357" s="1071"/>
      <c r="N357" s="1071"/>
      <c r="O357" s="1072">
        <v>14.72</v>
      </c>
      <c r="P357" s="1072"/>
      <c r="Q357" s="1072"/>
      <c r="R357" s="1072"/>
      <c r="S357" s="1024">
        <f t="shared" si="11"/>
        <v>0.44159999999999999</v>
      </c>
      <c r="T357" s="1025"/>
      <c r="U357" s="1025"/>
      <c r="V357" s="1026"/>
    </row>
    <row r="358" spans="2:22" s="508" customFormat="1" ht="17.45" customHeight="1">
      <c r="B358" s="965"/>
      <c r="C358" s="965"/>
      <c r="D358" s="965"/>
      <c r="E358" s="965"/>
      <c r="F358" s="965"/>
      <c r="G358" s="965"/>
      <c r="H358" s="965"/>
      <c r="I358" s="966" t="s">
        <v>645</v>
      </c>
      <c r="J358" s="966"/>
      <c r="K358" s="966"/>
      <c r="L358" s="966"/>
      <c r="M358" s="966"/>
      <c r="N358" s="966"/>
      <c r="O358" s="966"/>
      <c r="P358" s="966"/>
      <c r="Q358" s="966"/>
      <c r="R358" s="966"/>
      <c r="S358" s="1029">
        <f>SUM(S351:V357)</f>
        <v>16.110144009999999</v>
      </c>
      <c r="T358" s="1029"/>
      <c r="U358" s="1029"/>
      <c r="V358" s="1029"/>
    </row>
    <row r="359" spans="2:22" s="508" customFormat="1" ht="17.45" customHeight="1">
      <c r="B359" s="967"/>
      <c r="C359" s="967"/>
      <c r="D359" s="967"/>
      <c r="E359" s="967"/>
      <c r="F359" s="967"/>
      <c r="G359" s="967"/>
      <c r="H359" s="967"/>
      <c r="I359" s="967"/>
      <c r="J359" s="967"/>
      <c r="K359" s="967"/>
      <c r="L359" s="967"/>
      <c r="M359" s="967"/>
      <c r="N359" s="967"/>
      <c r="O359" s="967"/>
      <c r="P359" s="967"/>
      <c r="Q359" s="967"/>
      <c r="R359" s="967"/>
      <c r="S359" s="967"/>
      <c r="T359" s="967"/>
      <c r="U359" s="967"/>
      <c r="V359" s="967"/>
    </row>
    <row r="360" spans="2:22" s="508" customFormat="1" ht="17.45" customHeight="1">
      <c r="B360" s="968"/>
      <c r="C360" s="968"/>
      <c r="D360" s="968"/>
      <c r="E360" s="968"/>
      <c r="F360" s="968"/>
      <c r="G360" s="968"/>
      <c r="H360" s="968"/>
      <c r="I360" s="969" t="s">
        <v>646</v>
      </c>
      <c r="J360" s="969"/>
      <c r="K360" s="969"/>
      <c r="L360" s="969"/>
      <c r="M360" s="969"/>
      <c r="N360" s="969"/>
      <c r="O360" s="969"/>
      <c r="P360" s="969"/>
      <c r="Q360" s="969"/>
      <c r="R360" s="969"/>
      <c r="S360" s="963">
        <f>S358</f>
        <v>16.110144009999999</v>
      </c>
      <c r="T360" s="963"/>
      <c r="U360" s="963"/>
      <c r="V360" s="964"/>
    </row>
    <row r="361" spans="2:22" s="508" customFormat="1" ht="17.45" customHeight="1">
      <c r="B361" s="968"/>
      <c r="C361" s="968"/>
      <c r="D361" s="968"/>
      <c r="E361" s="968"/>
      <c r="F361" s="968"/>
      <c r="G361" s="968"/>
      <c r="H361" s="969" t="s">
        <v>647</v>
      </c>
      <c r="I361" s="969"/>
      <c r="J361" s="969"/>
      <c r="K361" s="969"/>
      <c r="L361" s="969"/>
      <c r="M361" s="970">
        <v>20.7</v>
      </c>
      <c r="N361" s="970"/>
      <c r="O361" s="970"/>
      <c r="P361" s="969" t="s">
        <v>648</v>
      </c>
      <c r="Q361" s="969"/>
      <c r="R361" s="969"/>
      <c r="S361" s="963">
        <f>S360*M361%</f>
        <v>3.3347998100699998</v>
      </c>
      <c r="T361" s="963"/>
      <c r="U361" s="963"/>
      <c r="V361" s="964"/>
    </row>
    <row r="362" spans="2:22" s="508" customFormat="1" ht="17.45" customHeight="1">
      <c r="B362" s="968"/>
      <c r="C362" s="968"/>
      <c r="D362" s="968"/>
      <c r="E362" s="968"/>
      <c r="F362" s="968"/>
      <c r="G362" s="968"/>
      <c r="H362" s="968"/>
      <c r="I362" s="969" t="s">
        <v>649</v>
      </c>
      <c r="J362" s="969"/>
      <c r="K362" s="969"/>
      <c r="L362" s="969"/>
      <c r="M362" s="969"/>
      <c r="N362" s="969"/>
      <c r="O362" s="969"/>
      <c r="P362" s="969"/>
      <c r="Q362" s="969"/>
      <c r="R362" s="969"/>
      <c r="S362" s="963">
        <f>S360+S361</f>
        <v>19.444943820069998</v>
      </c>
      <c r="T362" s="963"/>
      <c r="U362" s="963"/>
      <c r="V362" s="964"/>
    </row>
    <row r="363" spans="2:22" s="508" customFormat="1" ht="144.94999999999999" customHeight="1">
      <c r="B363" s="522"/>
      <c r="C363" s="523"/>
      <c r="D363" s="524"/>
      <c r="E363" s="524"/>
      <c r="F363" s="524"/>
      <c r="G363" s="524"/>
      <c r="H363" s="524"/>
      <c r="I363" s="524"/>
      <c r="J363" s="524"/>
      <c r="K363" s="523"/>
      <c r="L363" s="523"/>
      <c r="M363" s="523"/>
      <c r="N363" s="523"/>
      <c r="O363" s="523"/>
      <c r="P363" s="523"/>
      <c r="Q363" s="523"/>
      <c r="R363" s="523"/>
      <c r="S363" s="523"/>
      <c r="T363" s="523"/>
      <c r="U363" s="523"/>
      <c r="V363" s="525"/>
    </row>
    <row r="364" spans="2:22" s="508" customFormat="1" ht="144.94999999999999" customHeight="1">
      <c r="B364" s="522"/>
      <c r="C364" s="523"/>
      <c r="D364" s="524"/>
      <c r="E364" s="524"/>
      <c r="F364" s="524"/>
      <c r="G364" s="524"/>
      <c r="H364" s="524"/>
      <c r="I364" s="524"/>
      <c r="J364" s="524"/>
      <c r="K364" s="523"/>
      <c r="L364" s="523"/>
      <c r="M364" s="523"/>
      <c r="N364" s="523"/>
      <c r="O364" s="523"/>
      <c r="P364" s="523"/>
      <c r="Q364" s="523"/>
      <c r="R364" s="523"/>
      <c r="S364" s="523"/>
      <c r="T364" s="523"/>
      <c r="U364" s="523"/>
      <c r="V364" s="525"/>
    </row>
    <row r="365" spans="2:22" s="508" customFormat="1" ht="144.94999999999999" customHeight="1">
      <c r="B365" s="522"/>
      <c r="C365" s="523"/>
      <c r="D365" s="524"/>
      <c r="E365" s="524"/>
      <c r="F365" s="524"/>
      <c r="G365" s="524"/>
      <c r="H365" s="524"/>
      <c r="I365" s="524"/>
      <c r="J365" s="524"/>
      <c r="K365" s="523"/>
      <c r="L365" s="523"/>
      <c r="M365" s="523"/>
      <c r="N365" s="523"/>
      <c r="O365" s="523"/>
      <c r="P365" s="523"/>
      <c r="Q365" s="523"/>
      <c r="R365" s="523"/>
      <c r="S365" s="523"/>
      <c r="T365" s="523"/>
      <c r="U365" s="523"/>
      <c r="V365" s="525"/>
    </row>
    <row r="366" spans="2:22" s="508" customFormat="1" ht="17.45" customHeight="1">
      <c r="B366" s="512"/>
      <c r="C366" s="513"/>
      <c r="D366" s="526"/>
      <c r="E366" s="526"/>
      <c r="F366" s="526"/>
      <c r="G366" s="526"/>
      <c r="H366" s="526"/>
      <c r="I366" s="526"/>
      <c r="J366" s="526"/>
      <c r="K366" s="513"/>
      <c r="L366" s="513"/>
      <c r="M366" s="513"/>
      <c r="N366" s="513"/>
      <c r="O366" s="513"/>
      <c r="P366" s="513"/>
      <c r="Q366" s="513"/>
      <c r="R366" s="513"/>
      <c r="S366" s="513"/>
      <c r="T366" s="513"/>
      <c r="U366" s="513"/>
      <c r="V366" s="515"/>
    </row>
    <row r="367" spans="2:22" s="508" customFormat="1" ht="17.45" customHeight="1">
      <c r="B367" s="530"/>
      <c r="C367" s="999" t="s">
        <v>617</v>
      </c>
      <c r="D367" s="999"/>
      <c r="E367" s="999"/>
      <c r="F367" s="505"/>
      <c r="G367" s="1000" t="s">
        <v>821</v>
      </c>
      <c r="H367" s="1000"/>
      <c r="I367" s="1000"/>
      <c r="J367" s="1000"/>
      <c r="K367" s="1000"/>
      <c r="L367" s="1000"/>
      <c r="M367" s="506"/>
      <c r="N367" s="1000" t="s">
        <v>618</v>
      </c>
      <c r="O367" s="1000"/>
      <c r="P367" s="1000"/>
      <c r="Q367" s="1000"/>
      <c r="R367" s="1000"/>
      <c r="S367" s="1000"/>
      <c r="T367" s="1000"/>
      <c r="U367" s="1000"/>
      <c r="V367" s="507"/>
    </row>
    <row r="368" spans="2:22" s="508" customFormat="1" ht="17.45" customHeight="1">
      <c r="B368" s="509"/>
      <c r="C368" s="999" t="s">
        <v>619</v>
      </c>
      <c r="D368" s="999"/>
      <c r="E368" s="1030" t="s">
        <v>776</v>
      </c>
      <c r="F368" s="1030"/>
      <c r="G368" s="1030"/>
      <c r="H368" s="1030"/>
      <c r="I368" s="1030"/>
      <c r="J368" s="1030"/>
      <c r="K368" s="1005" t="s">
        <v>620</v>
      </c>
      <c r="L368" s="1005"/>
      <c r="M368" s="510"/>
      <c r="N368" s="1006" t="s">
        <v>777</v>
      </c>
      <c r="O368" s="1006"/>
      <c r="P368" s="1006"/>
      <c r="Q368" s="510"/>
      <c r="R368" s="510"/>
      <c r="S368" s="510"/>
      <c r="T368" s="510"/>
      <c r="U368" s="510"/>
      <c r="V368" s="511"/>
    </row>
    <row r="369" spans="2:22" s="508" customFormat="1" ht="17.45" customHeight="1">
      <c r="B369" s="512"/>
      <c r="C369" s="999"/>
      <c r="D369" s="999"/>
      <c r="E369" s="1030"/>
      <c r="F369" s="1030"/>
      <c r="G369" s="1030"/>
      <c r="H369" s="1030"/>
      <c r="I369" s="1030"/>
      <c r="J369" s="1030"/>
      <c r="K369" s="1007" t="s">
        <v>622</v>
      </c>
      <c r="L369" s="1007"/>
      <c r="M369" s="513"/>
      <c r="N369" s="1008">
        <v>1</v>
      </c>
      <c r="O369" s="1008"/>
      <c r="P369" s="1008"/>
      <c r="Q369" s="513"/>
      <c r="R369" s="1007" t="s">
        <v>623</v>
      </c>
      <c r="S369" s="1007"/>
      <c r="T369" s="513"/>
      <c r="U369" s="514" t="s">
        <v>657</v>
      </c>
      <c r="V369" s="515"/>
    </row>
    <row r="370" spans="2:22" s="508" customFormat="1" ht="17.45" customHeight="1">
      <c r="B370" s="997" t="s">
        <v>625</v>
      </c>
      <c r="C370" s="997"/>
      <c r="D370" s="998" t="s">
        <v>259</v>
      </c>
      <c r="E370" s="998"/>
      <c r="F370" s="998"/>
      <c r="G370" s="998"/>
      <c r="H370" s="998"/>
      <c r="I370" s="998"/>
      <c r="J370" s="997" t="s">
        <v>266</v>
      </c>
      <c r="K370" s="997"/>
      <c r="L370" s="997" t="s">
        <v>270</v>
      </c>
      <c r="M370" s="997"/>
      <c r="N370" s="997"/>
      <c r="O370" s="998" t="s">
        <v>626</v>
      </c>
      <c r="P370" s="998"/>
      <c r="Q370" s="998"/>
      <c r="R370" s="998"/>
      <c r="S370" s="998" t="s">
        <v>627</v>
      </c>
      <c r="T370" s="998"/>
      <c r="U370" s="998"/>
      <c r="V370" s="998"/>
    </row>
    <row r="371" spans="2:22" s="508" customFormat="1" ht="17.45" customHeight="1">
      <c r="B371" s="516"/>
      <c r="C371" s="517" t="s">
        <v>634</v>
      </c>
      <c r="D371" s="1060" t="s">
        <v>635</v>
      </c>
      <c r="E371" s="1060"/>
      <c r="F371" s="1060"/>
      <c r="G371" s="1060"/>
      <c r="H371" s="1060"/>
      <c r="I371" s="1060"/>
      <c r="J371" s="1061" t="s">
        <v>633</v>
      </c>
      <c r="K371" s="1061"/>
      <c r="L371" s="1062">
        <v>0.4</v>
      </c>
      <c r="M371" s="1062"/>
      <c r="N371" s="1062"/>
      <c r="O371" s="1063">
        <v>16.829999999999998</v>
      </c>
      <c r="P371" s="1063"/>
      <c r="Q371" s="1063"/>
      <c r="R371" s="1063"/>
      <c r="S371" s="1064">
        <f>L371*O371</f>
        <v>6.7319999999999993</v>
      </c>
      <c r="T371" s="1064"/>
      <c r="U371" s="1064"/>
      <c r="V371" s="1064"/>
    </row>
    <row r="372" spans="2:22" s="508" customFormat="1" ht="17.45" customHeight="1">
      <c r="B372" s="518"/>
      <c r="C372" s="519" t="s">
        <v>778</v>
      </c>
      <c r="D372" s="1065" t="s">
        <v>779</v>
      </c>
      <c r="E372" s="1065"/>
      <c r="F372" s="1065"/>
      <c r="G372" s="1065"/>
      <c r="H372" s="1065"/>
      <c r="I372" s="1065"/>
      <c r="J372" s="1066" t="s">
        <v>650</v>
      </c>
      <c r="K372" s="1066"/>
      <c r="L372" s="1067">
        <v>4</v>
      </c>
      <c r="M372" s="1067"/>
      <c r="N372" s="1067"/>
      <c r="O372" s="1068">
        <v>0.2</v>
      </c>
      <c r="P372" s="1068"/>
      <c r="Q372" s="1068"/>
      <c r="R372" s="1068"/>
      <c r="S372" s="996">
        <f t="shared" ref="S372:S373" si="12">L372*O372</f>
        <v>0.8</v>
      </c>
      <c r="T372" s="963"/>
      <c r="U372" s="963"/>
      <c r="V372" s="964"/>
    </row>
    <row r="373" spans="2:22" s="508" customFormat="1" ht="17.45" customHeight="1">
      <c r="B373" s="520"/>
      <c r="C373" s="521" t="s">
        <v>780</v>
      </c>
      <c r="D373" s="1069" t="s">
        <v>781</v>
      </c>
      <c r="E373" s="1069"/>
      <c r="F373" s="1069"/>
      <c r="G373" s="1069"/>
      <c r="H373" s="1069"/>
      <c r="I373" s="1069"/>
      <c r="J373" s="1070" t="s">
        <v>650</v>
      </c>
      <c r="K373" s="1070"/>
      <c r="L373" s="1071">
        <v>1</v>
      </c>
      <c r="M373" s="1071"/>
      <c r="N373" s="1071"/>
      <c r="O373" s="1072">
        <v>74.25</v>
      </c>
      <c r="P373" s="1072"/>
      <c r="Q373" s="1072"/>
      <c r="R373" s="1072"/>
      <c r="S373" s="1024">
        <f t="shared" si="12"/>
        <v>74.25</v>
      </c>
      <c r="T373" s="1025"/>
      <c r="U373" s="1025"/>
      <c r="V373" s="1026"/>
    </row>
    <row r="374" spans="2:22" s="508" customFormat="1" ht="17.45" customHeight="1">
      <c r="B374" s="965"/>
      <c r="C374" s="965"/>
      <c r="D374" s="965"/>
      <c r="E374" s="965"/>
      <c r="F374" s="965"/>
      <c r="G374" s="965"/>
      <c r="H374" s="965"/>
      <c r="I374" s="966" t="s">
        <v>645</v>
      </c>
      <c r="J374" s="966"/>
      <c r="K374" s="966"/>
      <c r="L374" s="966"/>
      <c r="M374" s="966"/>
      <c r="N374" s="966"/>
      <c r="O374" s="966"/>
      <c r="P374" s="966"/>
      <c r="Q374" s="966"/>
      <c r="R374" s="966"/>
      <c r="S374" s="1029">
        <f>SUM(S371:V373)</f>
        <v>81.781999999999996</v>
      </c>
      <c r="T374" s="1029"/>
      <c r="U374" s="1029"/>
      <c r="V374" s="1029"/>
    </row>
    <row r="375" spans="2:22" s="508" customFormat="1" ht="17.45" customHeight="1">
      <c r="B375" s="967"/>
      <c r="C375" s="967"/>
      <c r="D375" s="967"/>
      <c r="E375" s="967"/>
      <c r="F375" s="967"/>
      <c r="G375" s="967"/>
      <c r="H375" s="967"/>
      <c r="I375" s="967"/>
      <c r="J375" s="967"/>
      <c r="K375" s="967"/>
      <c r="L375" s="967"/>
      <c r="M375" s="967"/>
      <c r="N375" s="967"/>
      <c r="O375" s="967"/>
      <c r="P375" s="967"/>
      <c r="Q375" s="967"/>
      <c r="R375" s="967"/>
      <c r="S375" s="967"/>
      <c r="T375" s="967"/>
      <c r="U375" s="967"/>
      <c r="V375" s="967"/>
    </row>
    <row r="376" spans="2:22" s="508" customFormat="1" ht="17.45" customHeight="1">
      <c r="B376" s="968"/>
      <c r="C376" s="968"/>
      <c r="D376" s="968"/>
      <c r="E376" s="968"/>
      <c r="F376" s="968"/>
      <c r="G376" s="968"/>
      <c r="H376" s="968"/>
      <c r="I376" s="969" t="s">
        <v>646</v>
      </c>
      <c r="J376" s="969"/>
      <c r="K376" s="969"/>
      <c r="L376" s="969"/>
      <c r="M376" s="969"/>
      <c r="N376" s="969"/>
      <c r="O376" s="969"/>
      <c r="P376" s="969"/>
      <c r="Q376" s="969"/>
      <c r="R376" s="969"/>
      <c r="S376" s="963">
        <f>S374</f>
        <v>81.781999999999996</v>
      </c>
      <c r="T376" s="963"/>
      <c r="U376" s="963"/>
      <c r="V376" s="964"/>
    </row>
    <row r="377" spans="2:22" s="508" customFormat="1" ht="17.45" customHeight="1">
      <c r="B377" s="968"/>
      <c r="C377" s="968"/>
      <c r="D377" s="968"/>
      <c r="E377" s="968"/>
      <c r="F377" s="968"/>
      <c r="G377" s="968"/>
      <c r="H377" s="969" t="s">
        <v>647</v>
      </c>
      <c r="I377" s="969"/>
      <c r="J377" s="969"/>
      <c r="K377" s="969"/>
      <c r="L377" s="969"/>
      <c r="M377" s="970">
        <v>20.7</v>
      </c>
      <c r="N377" s="970"/>
      <c r="O377" s="970"/>
      <c r="P377" s="969" t="s">
        <v>648</v>
      </c>
      <c r="Q377" s="969"/>
      <c r="R377" s="969"/>
      <c r="S377" s="963">
        <f>S376*M377%</f>
        <v>16.928873999999997</v>
      </c>
      <c r="T377" s="963"/>
      <c r="U377" s="963"/>
      <c r="V377" s="964"/>
    </row>
    <row r="378" spans="2:22" s="508" customFormat="1" ht="17.45" customHeight="1">
      <c r="B378" s="968"/>
      <c r="C378" s="968"/>
      <c r="D378" s="968"/>
      <c r="E378" s="968"/>
      <c r="F378" s="968"/>
      <c r="G378" s="968"/>
      <c r="H378" s="968"/>
      <c r="I378" s="969" t="s">
        <v>649</v>
      </c>
      <c r="J378" s="969"/>
      <c r="K378" s="969"/>
      <c r="L378" s="969"/>
      <c r="M378" s="969"/>
      <c r="N378" s="969"/>
      <c r="O378" s="969"/>
      <c r="P378" s="969"/>
      <c r="Q378" s="969"/>
      <c r="R378" s="969"/>
      <c r="S378" s="963">
        <f>S376+S377</f>
        <v>98.71087399999999</v>
      </c>
      <c r="T378" s="963"/>
      <c r="U378" s="963"/>
      <c r="V378" s="964"/>
    </row>
    <row r="379" spans="2:22" s="508" customFormat="1" ht="144.94999999999999" customHeight="1">
      <c r="B379" s="522"/>
      <c r="C379" s="523"/>
      <c r="D379" s="524"/>
      <c r="E379" s="524"/>
      <c r="F379" s="524"/>
      <c r="G379" s="524"/>
      <c r="H379" s="524"/>
      <c r="I379" s="524"/>
      <c r="J379" s="524"/>
      <c r="K379" s="523"/>
      <c r="L379" s="523"/>
      <c r="M379" s="523"/>
      <c r="N379" s="523"/>
      <c r="O379" s="523"/>
      <c r="P379" s="523"/>
      <c r="Q379" s="523"/>
      <c r="R379" s="523"/>
      <c r="S379" s="523"/>
      <c r="T379" s="523"/>
      <c r="U379" s="523"/>
      <c r="V379" s="525"/>
    </row>
    <row r="380" spans="2:22" s="508" customFormat="1" ht="144.94999999999999" customHeight="1">
      <c r="B380" s="522"/>
      <c r="C380" s="523"/>
      <c r="D380" s="524"/>
      <c r="E380" s="524"/>
      <c r="F380" s="524"/>
      <c r="G380" s="524"/>
      <c r="H380" s="524"/>
      <c r="I380" s="524"/>
      <c r="J380" s="524"/>
      <c r="K380" s="523"/>
      <c r="L380" s="523"/>
      <c r="M380" s="523"/>
      <c r="N380" s="523"/>
      <c r="O380" s="523"/>
      <c r="P380" s="523"/>
      <c r="Q380" s="523"/>
      <c r="R380" s="523"/>
      <c r="S380" s="523"/>
      <c r="T380" s="523"/>
      <c r="U380" s="523"/>
      <c r="V380" s="525"/>
    </row>
    <row r="381" spans="2:22" s="508" customFormat="1" ht="144.94999999999999" customHeight="1">
      <c r="B381" s="522"/>
      <c r="C381" s="523"/>
      <c r="D381" s="524"/>
      <c r="E381" s="524"/>
      <c r="F381" s="524"/>
      <c r="G381" s="524"/>
      <c r="H381" s="524"/>
      <c r="I381" s="524"/>
      <c r="J381" s="524"/>
      <c r="K381" s="523"/>
      <c r="L381" s="523"/>
      <c r="M381" s="523"/>
      <c r="N381" s="523"/>
      <c r="O381" s="523"/>
      <c r="P381" s="523"/>
      <c r="Q381" s="523"/>
      <c r="R381" s="523"/>
      <c r="S381" s="523"/>
      <c r="T381" s="523"/>
      <c r="U381" s="523"/>
      <c r="V381" s="525"/>
    </row>
    <row r="382" spans="2:22" s="508" customFormat="1" ht="17.45" customHeight="1">
      <c r="B382" s="512"/>
      <c r="C382" s="513"/>
      <c r="D382" s="526"/>
      <c r="E382" s="526"/>
      <c r="F382" s="526"/>
      <c r="G382" s="526"/>
      <c r="H382" s="526"/>
      <c r="I382" s="526"/>
      <c r="J382" s="526"/>
      <c r="K382" s="513"/>
      <c r="L382" s="513"/>
      <c r="M382" s="513"/>
      <c r="N382" s="513"/>
      <c r="O382" s="513"/>
      <c r="P382" s="513"/>
      <c r="Q382" s="513"/>
      <c r="R382" s="513"/>
      <c r="S382" s="513"/>
      <c r="T382" s="513"/>
      <c r="U382" s="513"/>
      <c r="V382" s="515"/>
    </row>
    <row r="383" spans="2:22" s="508" customFormat="1" ht="17.45" customHeight="1">
      <c r="B383" s="530"/>
      <c r="C383" s="999" t="s">
        <v>617</v>
      </c>
      <c r="D383" s="999"/>
      <c r="E383" s="999"/>
      <c r="F383" s="505"/>
      <c r="G383" s="1000" t="s">
        <v>821</v>
      </c>
      <c r="H383" s="1000"/>
      <c r="I383" s="1000"/>
      <c r="J383" s="1000"/>
      <c r="K383" s="1000"/>
      <c r="L383" s="1000"/>
      <c r="M383" s="506"/>
      <c r="N383" s="1000" t="s">
        <v>618</v>
      </c>
      <c r="O383" s="1000"/>
      <c r="P383" s="1000"/>
      <c r="Q383" s="1000"/>
      <c r="R383" s="1000"/>
      <c r="S383" s="1000"/>
      <c r="T383" s="1000"/>
      <c r="U383" s="1000"/>
      <c r="V383" s="507"/>
    </row>
    <row r="384" spans="2:22" s="508" customFormat="1" ht="17.45" customHeight="1">
      <c r="B384" s="509"/>
      <c r="C384" s="999" t="s">
        <v>619</v>
      </c>
      <c r="D384" s="999"/>
      <c r="E384" s="1030" t="s">
        <v>782</v>
      </c>
      <c r="F384" s="1030"/>
      <c r="G384" s="1030"/>
      <c r="H384" s="1030"/>
      <c r="I384" s="1030"/>
      <c r="J384" s="1030"/>
      <c r="K384" s="1005" t="s">
        <v>620</v>
      </c>
      <c r="L384" s="1005"/>
      <c r="M384" s="510"/>
      <c r="N384" s="1006" t="s">
        <v>783</v>
      </c>
      <c r="O384" s="1006"/>
      <c r="P384" s="1006"/>
      <c r="Q384" s="510"/>
      <c r="R384" s="510"/>
      <c r="S384" s="510"/>
      <c r="T384" s="510"/>
      <c r="U384" s="510"/>
      <c r="V384" s="511"/>
    </row>
    <row r="385" spans="2:22" s="508" customFormat="1" ht="17.45" customHeight="1">
      <c r="B385" s="512"/>
      <c r="C385" s="999"/>
      <c r="D385" s="999"/>
      <c r="E385" s="1030"/>
      <c r="F385" s="1030"/>
      <c r="G385" s="1030"/>
      <c r="H385" s="1030"/>
      <c r="I385" s="1030"/>
      <c r="J385" s="1030"/>
      <c r="K385" s="1007" t="s">
        <v>622</v>
      </c>
      <c r="L385" s="1007"/>
      <c r="M385" s="513"/>
      <c r="N385" s="1008">
        <v>1</v>
      </c>
      <c r="O385" s="1008"/>
      <c r="P385" s="1008"/>
      <c r="Q385" s="513"/>
      <c r="R385" s="1007" t="s">
        <v>623</v>
      </c>
      <c r="S385" s="1007"/>
      <c r="T385" s="513"/>
      <c r="U385" s="514" t="s">
        <v>624</v>
      </c>
      <c r="V385" s="515"/>
    </row>
    <row r="386" spans="2:22" s="508" customFormat="1" ht="17.45" customHeight="1">
      <c r="B386" s="997" t="s">
        <v>625</v>
      </c>
      <c r="C386" s="997"/>
      <c r="D386" s="998" t="s">
        <v>259</v>
      </c>
      <c r="E386" s="998"/>
      <c r="F386" s="998"/>
      <c r="G386" s="998"/>
      <c r="H386" s="998"/>
      <c r="I386" s="998"/>
      <c r="J386" s="997" t="s">
        <v>266</v>
      </c>
      <c r="K386" s="997"/>
      <c r="L386" s="997" t="s">
        <v>270</v>
      </c>
      <c r="M386" s="997"/>
      <c r="N386" s="997"/>
      <c r="O386" s="998" t="s">
        <v>626</v>
      </c>
      <c r="P386" s="998"/>
      <c r="Q386" s="998"/>
      <c r="R386" s="998"/>
      <c r="S386" s="998" t="s">
        <v>627</v>
      </c>
      <c r="T386" s="998"/>
      <c r="U386" s="998"/>
      <c r="V386" s="998"/>
    </row>
    <row r="387" spans="2:22" s="508" customFormat="1" ht="17.45" customHeight="1">
      <c r="B387" s="516"/>
      <c r="C387" s="517">
        <v>88239</v>
      </c>
      <c r="D387" s="1060" t="s">
        <v>784</v>
      </c>
      <c r="E387" s="1060"/>
      <c r="F387" s="1060"/>
      <c r="G387" s="1060"/>
      <c r="H387" s="1060"/>
      <c r="I387" s="1060"/>
      <c r="J387" s="1061" t="s">
        <v>633</v>
      </c>
      <c r="K387" s="1061"/>
      <c r="L387" s="1062">
        <v>0.53</v>
      </c>
      <c r="M387" s="1062"/>
      <c r="N387" s="1062"/>
      <c r="O387" s="1063">
        <v>17.47</v>
      </c>
      <c r="P387" s="1063"/>
      <c r="Q387" s="1063"/>
      <c r="R387" s="1063"/>
      <c r="S387" s="1064">
        <f>L387*O387</f>
        <v>9.2591000000000001</v>
      </c>
      <c r="T387" s="1064"/>
      <c r="U387" s="1064"/>
      <c r="V387" s="1064"/>
    </row>
    <row r="388" spans="2:22" s="508" customFormat="1" ht="17.45" customHeight="1">
      <c r="B388" s="518"/>
      <c r="C388" s="519" t="s">
        <v>631</v>
      </c>
      <c r="D388" s="1065" t="s">
        <v>632</v>
      </c>
      <c r="E388" s="1065"/>
      <c r="F388" s="1065"/>
      <c r="G388" s="1065"/>
      <c r="H388" s="1065"/>
      <c r="I388" s="1065"/>
      <c r="J388" s="1066" t="s">
        <v>633</v>
      </c>
      <c r="K388" s="1066"/>
      <c r="L388" s="1067">
        <v>0.44</v>
      </c>
      <c r="M388" s="1067"/>
      <c r="N388" s="1067"/>
      <c r="O388" s="1068">
        <v>20.85</v>
      </c>
      <c r="P388" s="1068"/>
      <c r="Q388" s="1068"/>
      <c r="R388" s="1068"/>
      <c r="S388" s="996">
        <f t="shared" ref="S388:S392" si="13">L388*O388</f>
        <v>9.1740000000000013</v>
      </c>
      <c r="T388" s="963"/>
      <c r="U388" s="963"/>
      <c r="V388" s="964"/>
    </row>
    <row r="389" spans="2:22" s="508" customFormat="1" ht="17.45" customHeight="1">
      <c r="B389" s="518"/>
      <c r="C389" s="519" t="s">
        <v>785</v>
      </c>
      <c r="D389" s="1065" t="s">
        <v>786</v>
      </c>
      <c r="E389" s="1065"/>
      <c r="F389" s="1065"/>
      <c r="G389" s="1065"/>
      <c r="H389" s="1065"/>
      <c r="I389" s="1065"/>
      <c r="J389" s="1066" t="s">
        <v>638</v>
      </c>
      <c r="K389" s="1066"/>
      <c r="L389" s="1067">
        <v>0.2</v>
      </c>
      <c r="M389" s="1067"/>
      <c r="N389" s="1067"/>
      <c r="O389" s="1068">
        <v>4.58</v>
      </c>
      <c r="P389" s="1068"/>
      <c r="Q389" s="1068"/>
      <c r="R389" s="1068"/>
      <c r="S389" s="996">
        <f t="shared" si="13"/>
        <v>0.91600000000000004</v>
      </c>
      <c r="T389" s="963"/>
      <c r="U389" s="963"/>
      <c r="V389" s="964"/>
    </row>
    <row r="390" spans="2:22" s="508" customFormat="1" ht="17.45" customHeight="1">
      <c r="B390" s="518"/>
      <c r="C390" s="519" t="s">
        <v>639</v>
      </c>
      <c r="D390" s="1065" t="s">
        <v>640</v>
      </c>
      <c r="E390" s="1065"/>
      <c r="F390" s="1065"/>
      <c r="G390" s="1065"/>
      <c r="H390" s="1065"/>
      <c r="I390" s="1065"/>
      <c r="J390" s="1066" t="s">
        <v>638</v>
      </c>
      <c r="K390" s="1066"/>
      <c r="L390" s="1067">
        <v>0.06</v>
      </c>
      <c r="M390" s="1067"/>
      <c r="N390" s="1067"/>
      <c r="O390" s="1068">
        <v>9.0399999999999991</v>
      </c>
      <c r="P390" s="1068"/>
      <c r="Q390" s="1068"/>
      <c r="R390" s="1068"/>
      <c r="S390" s="996">
        <f t="shared" si="13"/>
        <v>0.54239999999999988</v>
      </c>
      <c r="T390" s="963"/>
      <c r="U390" s="963"/>
      <c r="V390" s="964"/>
    </row>
    <row r="391" spans="2:22" s="508" customFormat="1" ht="17.45" customHeight="1">
      <c r="B391" s="518"/>
      <c r="C391" s="519" t="s">
        <v>787</v>
      </c>
      <c r="D391" s="1065" t="s">
        <v>788</v>
      </c>
      <c r="E391" s="1065"/>
      <c r="F391" s="1065"/>
      <c r="G391" s="1065"/>
      <c r="H391" s="1065"/>
      <c r="I391" s="1065"/>
      <c r="J391" s="1066" t="s">
        <v>644</v>
      </c>
      <c r="K391" s="1066"/>
      <c r="L391" s="1067">
        <v>0.01</v>
      </c>
      <c r="M391" s="1067"/>
      <c r="N391" s="1067"/>
      <c r="O391" s="1068">
        <v>24</v>
      </c>
      <c r="P391" s="1068"/>
      <c r="Q391" s="1068"/>
      <c r="R391" s="1068"/>
      <c r="S391" s="996">
        <f t="shared" si="13"/>
        <v>0.24</v>
      </c>
      <c r="T391" s="963"/>
      <c r="U391" s="963"/>
      <c r="V391" s="964"/>
    </row>
    <row r="392" spans="2:22" s="508" customFormat="1" ht="17.45" customHeight="1">
      <c r="B392" s="520"/>
      <c r="C392" s="521" t="s">
        <v>789</v>
      </c>
      <c r="D392" s="1069" t="s">
        <v>790</v>
      </c>
      <c r="E392" s="1069"/>
      <c r="F392" s="1069"/>
      <c r="G392" s="1069"/>
      <c r="H392" s="1069"/>
      <c r="I392" s="1069"/>
      <c r="J392" s="1070" t="s">
        <v>624</v>
      </c>
      <c r="K392" s="1070"/>
      <c r="L392" s="1071">
        <v>1.1000000000000001</v>
      </c>
      <c r="M392" s="1071"/>
      <c r="N392" s="1071"/>
      <c r="O392" s="1072">
        <v>2.19</v>
      </c>
      <c r="P392" s="1072"/>
      <c r="Q392" s="1072"/>
      <c r="R392" s="1072"/>
      <c r="S392" s="1024">
        <f t="shared" si="13"/>
        <v>2.4090000000000003</v>
      </c>
      <c r="T392" s="1025"/>
      <c r="U392" s="1025"/>
      <c r="V392" s="1026"/>
    </row>
    <row r="393" spans="2:22" s="508" customFormat="1" ht="17.45" customHeight="1">
      <c r="B393" s="965"/>
      <c r="C393" s="965"/>
      <c r="D393" s="965"/>
      <c r="E393" s="965"/>
      <c r="F393" s="965"/>
      <c r="G393" s="965"/>
      <c r="H393" s="965"/>
      <c r="I393" s="966" t="s">
        <v>645</v>
      </c>
      <c r="J393" s="966"/>
      <c r="K393" s="966"/>
      <c r="L393" s="966"/>
      <c r="M393" s="966"/>
      <c r="N393" s="966"/>
      <c r="O393" s="966"/>
      <c r="P393" s="966"/>
      <c r="Q393" s="966"/>
      <c r="R393" s="966"/>
      <c r="S393" s="1029">
        <f>SUM(S387:V392)</f>
        <v>22.540500000000002</v>
      </c>
      <c r="T393" s="1029"/>
      <c r="U393" s="1029"/>
      <c r="V393" s="1029"/>
    </row>
    <row r="394" spans="2:22" s="508" customFormat="1" ht="17.45" customHeight="1">
      <c r="B394" s="967"/>
      <c r="C394" s="967"/>
      <c r="D394" s="967"/>
      <c r="E394" s="967"/>
      <c r="F394" s="967"/>
      <c r="G394" s="967"/>
      <c r="H394" s="967"/>
      <c r="I394" s="967"/>
      <c r="J394" s="967"/>
      <c r="K394" s="967"/>
      <c r="L394" s="967"/>
      <c r="M394" s="967"/>
      <c r="N394" s="967"/>
      <c r="O394" s="967"/>
      <c r="P394" s="967"/>
      <c r="Q394" s="967"/>
      <c r="R394" s="967"/>
      <c r="S394" s="967"/>
      <c r="T394" s="967"/>
      <c r="U394" s="967"/>
      <c r="V394" s="967"/>
    </row>
    <row r="395" spans="2:22" s="508" customFormat="1" ht="17.45" customHeight="1">
      <c r="B395" s="968"/>
      <c r="C395" s="968"/>
      <c r="D395" s="968"/>
      <c r="E395" s="968"/>
      <c r="F395" s="968"/>
      <c r="G395" s="968"/>
      <c r="H395" s="968"/>
      <c r="I395" s="969" t="s">
        <v>646</v>
      </c>
      <c r="J395" s="969"/>
      <c r="K395" s="969"/>
      <c r="L395" s="969"/>
      <c r="M395" s="969"/>
      <c r="N395" s="969"/>
      <c r="O395" s="969"/>
      <c r="P395" s="969"/>
      <c r="Q395" s="969"/>
      <c r="R395" s="969"/>
      <c r="S395" s="963">
        <f>S393</f>
        <v>22.540500000000002</v>
      </c>
      <c r="T395" s="963"/>
      <c r="U395" s="963"/>
      <c r="V395" s="964"/>
    </row>
    <row r="396" spans="2:22" s="508" customFormat="1" ht="17.45" customHeight="1">
      <c r="B396" s="968"/>
      <c r="C396" s="968"/>
      <c r="D396" s="968"/>
      <c r="E396" s="968"/>
      <c r="F396" s="968"/>
      <c r="G396" s="968"/>
      <c r="H396" s="969" t="s">
        <v>647</v>
      </c>
      <c r="I396" s="969"/>
      <c r="J396" s="969"/>
      <c r="K396" s="969"/>
      <c r="L396" s="969"/>
      <c r="M396" s="970">
        <v>20.7</v>
      </c>
      <c r="N396" s="970"/>
      <c r="O396" s="970"/>
      <c r="P396" s="969" t="s">
        <v>648</v>
      </c>
      <c r="Q396" s="969"/>
      <c r="R396" s="969"/>
      <c r="S396" s="963">
        <f>S395*M396%</f>
        <v>4.6658835000000005</v>
      </c>
      <c r="T396" s="963"/>
      <c r="U396" s="963"/>
      <c r="V396" s="964"/>
    </row>
    <row r="397" spans="2:22" s="508" customFormat="1" ht="17.45" customHeight="1">
      <c r="B397" s="968"/>
      <c r="C397" s="968"/>
      <c r="D397" s="968"/>
      <c r="E397" s="968"/>
      <c r="F397" s="968"/>
      <c r="G397" s="968"/>
      <c r="H397" s="968"/>
      <c r="I397" s="969" t="s">
        <v>649</v>
      </c>
      <c r="J397" s="969"/>
      <c r="K397" s="969"/>
      <c r="L397" s="969"/>
      <c r="M397" s="969"/>
      <c r="N397" s="969"/>
      <c r="O397" s="969"/>
      <c r="P397" s="969"/>
      <c r="Q397" s="969"/>
      <c r="R397" s="969"/>
      <c r="S397" s="963">
        <f>S395+S396</f>
        <v>27.206383500000001</v>
      </c>
      <c r="T397" s="963"/>
      <c r="U397" s="963"/>
      <c r="V397" s="964"/>
    </row>
    <row r="398" spans="2:22" s="508" customFormat="1" ht="144.94999999999999" customHeight="1">
      <c r="B398" s="522"/>
      <c r="C398" s="523"/>
      <c r="D398" s="524"/>
      <c r="E398" s="524"/>
      <c r="F398" s="524"/>
      <c r="G398" s="524"/>
      <c r="H398" s="524"/>
      <c r="I398" s="524"/>
      <c r="J398" s="524"/>
      <c r="K398" s="523"/>
      <c r="L398" s="523"/>
      <c r="M398" s="523"/>
      <c r="N398" s="523"/>
      <c r="O398" s="523"/>
      <c r="P398" s="523"/>
      <c r="Q398" s="523"/>
      <c r="R398" s="523"/>
      <c r="S398" s="523"/>
      <c r="T398" s="523"/>
      <c r="U398" s="523"/>
      <c r="V398" s="525"/>
    </row>
    <row r="399" spans="2:22" s="508" customFormat="1" ht="144.94999999999999" customHeight="1">
      <c r="B399" s="522"/>
      <c r="C399" s="523"/>
      <c r="D399" s="524"/>
      <c r="E399" s="524"/>
      <c r="F399" s="524"/>
      <c r="G399" s="524"/>
      <c r="H399" s="524"/>
      <c r="I399" s="524"/>
      <c r="J399" s="524"/>
      <c r="K399" s="523"/>
      <c r="L399" s="523"/>
      <c r="M399" s="523"/>
      <c r="N399" s="523"/>
      <c r="O399" s="523"/>
      <c r="P399" s="523"/>
      <c r="Q399" s="523"/>
      <c r="R399" s="523"/>
      <c r="S399" s="523"/>
      <c r="T399" s="523"/>
      <c r="U399" s="523"/>
      <c r="V399" s="525"/>
    </row>
    <row r="400" spans="2:22" s="508" customFormat="1" ht="144.94999999999999" customHeight="1">
      <c r="B400" s="522"/>
      <c r="C400" s="523"/>
      <c r="D400" s="524"/>
      <c r="E400" s="524"/>
      <c r="F400" s="524"/>
      <c r="G400" s="524"/>
      <c r="H400" s="524"/>
      <c r="I400" s="524"/>
      <c r="J400" s="524"/>
      <c r="K400" s="523"/>
      <c r="L400" s="523"/>
      <c r="M400" s="523"/>
      <c r="N400" s="523"/>
      <c r="O400" s="523"/>
      <c r="P400" s="523"/>
      <c r="Q400" s="523"/>
      <c r="R400" s="523"/>
      <c r="S400" s="523"/>
      <c r="T400" s="523"/>
      <c r="U400" s="523"/>
      <c r="V400" s="525"/>
    </row>
    <row r="401" spans="2:22" s="508" customFormat="1" ht="17.45" customHeight="1">
      <c r="B401" s="512"/>
      <c r="C401" s="513"/>
      <c r="D401" s="526"/>
      <c r="E401" s="526"/>
      <c r="F401" s="526"/>
      <c r="G401" s="526"/>
      <c r="H401" s="526"/>
      <c r="I401" s="526"/>
      <c r="J401" s="526"/>
      <c r="K401" s="513"/>
      <c r="L401" s="513"/>
      <c r="M401" s="513"/>
      <c r="N401" s="513"/>
      <c r="O401" s="513"/>
      <c r="P401" s="513"/>
      <c r="Q401" s="513"/>
      <c r="R401" s="513"/>
      <c r="S401" s="513"/>
      <c r="T401" s="513"/>
      <c r="U401" s="513"/>
      <c r="V401" s="515"/>
    </row>
    <row r="402" spans="2:22" s="508" customFormat="1" ht="17.45" customHeight="1">
      <c r="B402" s="530"/>
      <c r="C402" s="999" t="s">
        <v>617</v>
      </c>
      <c r="D402" s="999"/>
      <c r="E402" s="999"/>
      <c r="F402" s="505"/>
      <c r="G402" s="1000" t="s">
        <v>821</v>
      </c>
      <c r="H402" s="1000"/>
      <c r="I402" s="1000"/>
      <c r="J402" s="1000"/>
      <c r="K402" s="1000"/>
      <c r="L402" s="1000"/>
      <c r="M402" s="506"/>
      <c r="N402" s="1000" t="s">
        <v>618</v>
      </c>
      <c r="O402" s="1000"/>
      <c r="P402" s="1000"/>
      <c r="Q402" s="1000"/>
      <c r="R402" s="1000"/>
      <c r="S402" s="1000"/>
      <c r="T402" s="1000"/>
      <c r="U402" s="1000"/>
      <c r="V402" s="507"/>
    </row>
    <row r="403" spans="2:22" s="508" customFormat="1" ht="17.45" customHeight="1">
      <c r="B403" s="509"/>
      <c r="C403" s="999" t="s">
        <v>619</v>
      </c>
      <c r="D403" s="999"/>
      <c r="E403" s="1030" t="s">
        <v>791</v>
      </c>
      <c r="F403" s="1030"/>
      <c r="G403" s="1030"/>
      <c r="H403" s="1030"/>
      <c r="I403" s="1030"/>
      <c r="J403" s="1030"/>
      <c r="K403" s="1005" t="s">
        <v>620</v>
      </c>
      <c r="L403" s="1005"/>
      <c r="M403" s="510"/>
      <c r="N403" s="1006" t="s">
        <v>792</v>
      </c>
      <c r="O403" s="1006"/>
      <c r="P403" s="1006"/>
      <c r="Q403" s="510"/>
      <c r="R403" s="510"/>
      <c r="S403" s="510"/>
      <c r="T403" s="510"/>
      <c r="U403" s="510"/>
      <c r="V403" s="511"/>
    </row>
    <row r="404" spans="2:22" s="508" customFormat="1" ht="17.45" customHeight="1">
      <c r="B404" s="512"/>
      <c r="C404" s="999"/>
      <c r="D404" s="999"/>
      <c r="E404" s="1030"/>
      <c r="F404" s="1030"/>
      <c r="G404" s="1030"/>
      <c r="H404" s="1030"/>
      <c r="I404" s="1030"/>
      <c r="J404" s="1030"/>
      <c r="K404" s="1007" t="s">
        <v>622</v>
      </c>
      <c r="L404" s="1007"/>
      <c r="M404" s="513"/>
      <c r="N404" s="1008">
        <v>1</v>
      </c>
      <c r="O404" s="1008"/>
      <c r="P404" s="1008"/>
      <c r="Q404" s="513"/>
      <c r="R404" s="1007" t="s">
        <v>623</v>
      </c>
      <c r="S404" s="1007"/>
      <c r="T404" s="513"/>
      <c r="U404" s="514" t="s">
        <v>624</v>
      </c>
      <c r="V404" s="515"/>
    </row>
    <row r="405" spans="2:22" s="508" customFormat="1" ht="17.45" customHeight="1">
      <c r="B405" s="997" t="s">
        <v>625</v>
      </c>
      <c r="C405" s="997"/>
      <c r="D405" s="998" t="s">
        <v>259</v>
      </c>
      <c r="E405" s="998"/>
      <c r="F405" s="998"/>
      <c r="G405" s="998"/>
      <c r="H405" s="998"/>
      <c r="I405" s="998"/>
      <c r="J405" s="997" t="s">
        <v>266</v>
      </c>
      <c r="K405" s="997"/>
      <c r="L405" s="997" t="s">
        <v>270</v>
      </c>
      <c r="M405" s="997"/>
      <c r="N405" s="997"/>
      <c r="O405" s="998" t="s">
        <v>626</v>
      </c>
      <c r="P405" s="998"/>
      <c r="Q405" s="998"/>
      <c r="R405" s="998"/>
      <c r="S405" s="998" t="s">
        <v>627</v>
      </c>
      <c r="T405" s="998"/>
      <c r="U405" s="998"/>
      <c r="V405" s="998"/>
    </row>
    <row r="406" spans="2:22" s="508" customFormat="1" ht="17.45" customHeight="1">
      <c r="B406" s="516"/>
      <c r="C406" s="517" t="s">
        <v>631</v>
      </c>
      <c r="D406" s="1060" t="s">
        <v>632</v>
      </c>
      <c r="E406" s="1060"/>
      <c r="F406" s="1060"/>
      <c r="G406" s="1060"/>
      <c r="H406" s="1060"/>
      <c r="I406" s="1060"/>
      <c r="J406" s="1061" t="s">
        <v>633</v>
      </c>
      <c r="K406" s="1061"/>
      <c r="L406" s="1062">
        <v>0.5</v>
      </c>
      <c r="M406" s="1062"/>
      <c r="N406" s="1062"/>
      <c r="O406" s="1063">
        <v>20.85</v>
      </c>
      <c r="P406" s="1063"/>
      <c r="Q406" s="1063"/>
      <c r="R406" s="1063"/>
      <c r="S406" s="1064">
        <f>L406*O406</f>
        <v>10.425000000000001</v>
      </c>
      <c r="T406" s="1064"/>
      <c r="U406" s="1064"/>
      <c r="V406" s="1064"/>
    </row>
    <row r="407" spans="2:22" s="508" customFormat="1" ht="17.45" customHeight="1">
      <c r="B407" s="518"/>
      <c r="C407" s="519" t="s">
        <v>634</v>
      </c>
      <c r="D407" s="1065" t="s">
        <v>635</v>
      </c>
      <c r="E407" s="1065"/>
      <c r="F407" s="1065"/>
      <c r="G407" s="1065"/>
      <c r="H407" s="1065"/>
      <c r="I407" s="1065"/>
      <c r="J407" s="1066" t="s">
        <v>633</v>
      </c>
      <c r="K407" s="1066"/>
      <c r="L407" s="1067">
        <v>1.5</v>
      </c>
      <c r="M407" s="1067"/>
      <c r="N407" s="1067"/>
      <c r="O407" s="1068">
        <v>16.829999999999998</v>
      </c>
      <c r="P407" s="1068"/>
      <c r="Q407" s="1068"/>
      <c r="R407" s="1068"/>
      <c r="S407" s="996">
        <f t="shared" ref="S407:S410" si="14">L407*O407</f>
        <v>25.244999999999997</v>
      </c>
      <c r="T407" s="963"/>
      <c r="U407" s="963"/>
      <c r="V407" s="964"/>
    </row>
    <row r="408" spans="2:22" s="508" customFormat="1" ht="17.45" customHeight="1">
      <c r="B408" s="518"/>
      <c r="C408" s="519">
        <v>4472</v>
      </c>
      <c r="D408" s="1065" t="s">
        <v>793</v>
      </c>
      <c r="E408" s="1065"/>
      <c r="F408" s="1065"/>
      <c r="G408" s="1065"/>
      <c r="H408" s="1065"/>
      <c r="I408" s="1065"/>
      <c r="J408" s="1066" t="s">
        <v>638</v>
      </c>
      <c r="K408" s="1066"/>
      <c r="L408" s="1067">
        <v>0.76190000000000002</v>
      </c>
      <c r="M408" s="1067"/>
      <c r="N408" s="1067"/>
      <c r="O408" s="1068">
        <v>23.75</v>
      </c>
      <c r="P408" s="1068"/>
      <c r="Q408" s="1068"/>
      <c r="R408" s="1068"/>
      <c r="S408" s="996">
        <f t="shared" si="14"/>
        <v>18.095124999999999</v>
      </c>
      <c r="T408" s="963"/>
      <c r="U408" s="963"/>
      <c r="V408" s="964"/>
    </row>
    <row r="409" spans="2:22" s="508" customFormat="1" ht="17.45" customHeight="1">
      <c r="B409" s="518"/>
      <c r="C409" s="519">
        <v>5061</v>
      </c>
      <c r="D409" s="1065" t="s">
        <v>788</v>
      </c>
      <c r="E409" s="1065"/>
      <c r="F409" s="1065"/>
      <c r="G409" s="1065"/>
      <c r="H409" s="1065"/>
      <c r="I409" s="1065"/>
      <c r="J409" s="1066" t="s">
        <v>644</v>
      </c>
      <c r="K409" s="1066"/>
      <c r="L409" s="1067">
        <v>0.2</v>
      </c>
      <c r="M409" s="1067"/>
      <c r="N409" s="1067"/>
      <c r="O409" s="1068">
        <v>24</v>
      </c>
      <c r="P409" s="1068"/>
      <c r="Q409" s="1068"/>
      <c r="R409" s="1068"/>
      <c r="S409" s="996">
        <f t="shared" si="14"/>
        <v>4.8000000000000007</v>
      </c>
      <c r="T409" s="963"/>
      <c r="U409" s="963"/>
      <c r="V409" s="964"/>
    </row>
    <row r="410" spans="2:22" s="508" customFormat="1" ht="17.45" customHeight="1">
      <c r="B410" s="520"/>
      <c r="C410" s="521">
        <v>6189</v>
      </c>
      <c r="D410" s="1069" t="s">
        <v>794</v>
      </c>
      <c r="E410" s="1069"/>
      <c r="F410" s="1069"/>
      <c r="G410" s="1069"/>
      <c r="H410" s="1069"/>
      <c r="I410" s="1069"/>
      <c r="J410" s="1070" t="s">
        <v>638</v>
      </c>
      <c r="K410" s="1070"/>
      <c r="L410" s="1071">
        <v>0.42849999999999999</v>
      </c>
      <c r="M410" s="1071"/>
      <c r="N410" s="1071"/>
      <c r="O410" s="1072">
        <v>18.54</v>
      </c>
      <c r="P410" s="1072"/>
      <c r="Q410" s="1072"/>
      <c r="R410" s="1072"/>
      <c r="S410" s="1024">
        <f t="shared" si="14"/>
        <v>7.9443899999999994</v>
      </c>
      <c r="T410" s="1025"/>
      <c r="U410" s="1025"/>
      <c r="V410" s="1026"/>
    </row>
    <row r="411" spans="2:22" s="508" customFormat="1" ht="17.45" customHeight="1">
      <c r="B411" s="965"/>
      <c r="C411" s="965"/>
      <c r="D411" s="965"/>
      <c r="E411" s="965"/>
      <c r="F411" s="965"/>
      <c r="G411" s="965"/>
      <c r="H411" s="965"/>
      <c r="I411" s="966" t="s">
        <v>645</v>
      </c>
      <c r="J411" s="966"/>
      <c r="K411" s="966"/>
      <c r="L411" s="966"/>
      <c r="M411" s="966"/>
      <c r="N411" s="966"/>
      <c r="O411" s="966"/>
      <c r="P411" s="966"/>
      <c r="Q411" s="966"/>
      <c r="R411" s="966"/>
      <c r="S411" s="1029">
        <f>SUM(S406:V410)</f>
        <v>66.509514999999993</v>
      </c>
      <c r="T411" s="1029"/>
      <c r="U411" s="1029"/>
      <c r="V411" s="1029"/>
    </row>
    <row r="412" spans="2:22" s="508" customFormat="1" ht="17.45" customHeight="1">
      <c r="B412" s="967"/>
      <c r="C412" s="967"/>
      <c r="D412" s="967"/>
      <c r="E412" s="967"/>
      <c r="F412" s="967"/>
      <c r="G412" s="967"/>
      <c r="H412" s="967"/>
      <c r="I412" s="967"/>
      <c r="J412" s="967"/>
      <c r="K412" s="967"/>
      <c r="L412" s="967"/>
      <c r="M412" s="967"/>
      <c r="N412" s="967"/>
      <c r="O412" s="967"/>
      <c r="P412" s="967"/>
      <c r="Q412" s="967"/>
      <c r="R412" s="967"/>
      <c r="S412" s="967"/>
      <c r="T412" s="967"/>
      <c r="U412" s="967"/>
      <c r="V412" s="967"/>
    </row>
    <row r="413" spans="2:22" s="508" customFormat="1" ht="17.45" customHeight="1">
      <c r="B413" s="968"/>
      <c r="C413" s="968"/>
      <c r="D413" s="968"/>
      <c r="E413" s="968"/>
      <c r="F413" s="968"/>
      <c r="G413" s="968"/>
      <c r="H413" s="968"/>
      <c r="I413" s="969" t="s">
        <v>646</v>
      </c>
      <c r="J413" s="969"/>
      <c r="K413" s="969"/>
      <c r="L413" s="969"/>
      <c r="M413" s="969"/>
      <c r="N413" s="969"/>
      <c r="O413" s="969"/>
      <c r="P413" s="969"/>
      <c r="Q413" s="969"/>
      <c r="R413" s="969"/>
      <c r="S413" s="963">
        <f>S411</f>
        <v>66.509514999999993</v>
      </c>
      <c r="T413" s="963"/>
      <c r="U413" s="963"/>
      <c r="V413" s="964"/>
    </row>
    <row r="414" spans="2:22" s="508" customFormat="1" ht="17.45" customHeight="1">
      <c r="B414" s="968"/>
      <c r="C414" s="968"/>
      <c r="D414" s="968"/>
      <c r="E414" s="968"/>
      <c r="F414" s="968"/>
      <c r="G414" s="968"/>
      <c r="H414" s="969" t="s">
        <v>647</v>
      </c>
      <c r="I414" s="969"/>
      <c r="J414" s="969"/>
      <c r="K414" s="969"/>
      <c r="L414" s="969"/>
      <c r="M414" s="970">
        <v>20.7</v>
      </c>
      <c r="N414" s="970"/>
      <c r="O414" s="970"/>
      <c r="P414" s="969" t="s">
        <v>648</v>
      </c>
      <c r="Q414" s="969"/>
      <c r="R414" s="969"/>
      <c r="S414" s="963">
        <f>S413*M414%</f>
        <v>13.767469604999999</v>
      </c>
      <c r="T414" s="963"/>
      <c r="U414" s="963"/>
      <c r="V414" s="964"/>
    </row>
    <row r="415" spans="2:22" s="508" customFormat="1" ht="17.45" customHeight="1">
      <c r="B415" s="968"/>
      <c r="C415" s="968"/>
      <c r="D415" s="968"/>
      <c r="E415" s="968"/>
      <c r="F415" s="968"/>
      <c r="G415" s="968"/>
      <c r="H415" s="968"/>
      <c r="I415" s="969" t="s">
        <v>649</v>
      </c>
      <c r="J415" s="969"/>
      <c r="K415" s="969"/>
      <c r="L415" s="969"/>
      <c r="M415" s="969"/>
      <c r="N415" s="969"/>
      <c r="O415" s="969"/>
      <c r="P415" s="969"/>
      <c r="Q415" s="969"/>
      <c r="R415" s="969"/>
      <c r="S415" s="963">
        <f>S413+S414</f>
        <v>80.276984604999996</v>
      </c>
      <c r="T415" s="963"/>
      <c r="U415" s="963"/>
      <c r="V415" s="964"/>
    </row>
    <row r="416" spans="2:22" s="508" customFormat="1" ht="144.94999999999999" customHeight="1">
      <c r="B416" s="522"/>
      <c r="C416" s="523"/>
      <c r="D416" s="524"/>
      <c r="E416" s="524"/>
      <c r="F416" s="524"/>
      <c r="G416" s="524"/>
      <c r="H416" s="524"/>
      <c r="I416" s="524"/>
      <c r="J416" s="524"/>
      <c r="K416" s="523"/>
      <c r="L416" s="523"/>
      <c r="M416" s="523"/>
      <c r="N416" s="523"/>
      <c r="O416" s="523"/>
      <c r="P416" s="523"/>
      <c r="Q416" s="523"/>
      <c r="R416" s="523"/>
      <c r="S416" s="523"/>
      <c r="T416" s="523"/>
      <c r="U416" s="523"/>
      <c r="V416" s="525"/>
    </row>
    <row r="417" spans="2:22" s="508" customFormat="1" ht="144.94999999999999" customHeight="1">
      <c r="B417" s="522"/>
      <c r="C417" s="523"/>
      <c r="D417" s="524"/>
      <c r="E417" s="524"/>
      <c r="F417" s="524"/>
      <c r="G417" s="524"/>
      <c r="H417" s="524"/>
      <c r="I417" s="524"/>
      <c r="J417" s="524"/>
      <c r="K417" s="523"/>
      <c r="L417" s="523"/>
      <c r="M417" s="523"/>
      <c r="N417" s="523"/>
      <c r="O417" s="523"/>
      <c r="P417" s="523"/>
      <c r="Q417" s="523"/>
      <c r="R417" s="523"/>
      <c r="S417" s="523"/>
      <c r="T417" s="523"/>
      <c r="U417" s="523"/>
      <c r="V417" s="525"/>
    </row>
    <row r="418" spans="2:22" s="508" customFormat="1" ht="144.94999999999999" customHeight="1">
      <c r="B418" s="522"/>
      <c r="C418" s="523"/>
      <c r="D418" s="524"/>
      <c r="E418" s="524"/>
      <c r="F418" s="524"/>
      <c r="G418" s="524"/>
      <c r="H418" s="524"/>
      <c r="I418" s="524"/>
      <c r="J418" s="524"/>
      <c r="K418" s="523"/>
      <c r="L418" s="523"/>
      <c r="M418" s="523"/>
      <c r="N418" s="523"/>
      <c r="O418" s="523"/>
      <c r="P418" s="523"/>
      <c r="Q418" s="523"/>
      <c r="R418" s="523"/>
      <c r="S418" s="523"/>
      <c r="T418" s="523"/>
      <c r="U418" s="523"/>
      <c r="V418" s="525"/>
    </row>
    <row r="419" spans="2:22" s="508" customFormat="1" ht="17.45" customHeight="1">
      <c r="B419" s="512"/>
      <c r="C419" s="513"/>
      <c r="D419" s="526"/>
      <c r="E419" s="526"/>
      <c r="F419" s="526"/>
      <c r="G419" s="526"/>
      <c r="H419" s="526"/>
      <c r="I419" s="526"/>
      <c r="J419" s="526"/>
      <c r="K419" s="513"/>
      <c r="L419" s="513"/>
      <c r="M419" s="513"/>
      <c r="N419" s="513"/>
      <c r="O419" s="513"/>
      <c r="P419" s="513"/>
      <c r="Q419" s="513"/>
      <c r="R419" s="513"/>
      <c r="S419" s="513"/>
      <c r="T419" s="513"/>
      <c r="U419" s="513"/>
      <c r="V419" s="515"/>
    </row>
    <row r="420" spans="2:22" s="508" customFormat="1" ht="17.45" customHeight="1">
      <c r="B420" s="530"/>
      <c r="C420" s="999" t="s">
        <v>617</v>
      </c>
      <c r="D420" s="999"/>
      <c r="E420" s="999"/>
      <c r="F420" s="505"/>
      <c r="G420" s="1000" t="s">
        <v>821</v>
      </c>
      <c r="H420" s="1000"/>
      <c r="I420" s="1000"/>
      <c r="J420" s="1000"/>
      <c r="K420" s="1000"/>
      <c r="L420" s="1000"/>
      <c r="M420" s="506"/>
      <c r="N420" s="1000" t="s">
        <v>618</v>
      </c>
      <c r="O420" s="1000"/>
      <c r="P420" s="1000"/>
      <c r="Q420" s="1000"/>
      <c r="R420" s="1000"/>
      <c r="S420" s="1000"/>
      <c r="T420" s="1000"/>
      <c r="U420" s="1000"/>
      <c r="V420" s="507"/>
    </row>
    <row r="421" spans="2:22" s="508" customFormat="1" ht="17.45" customHeight="1">
      <c r="B421" s="509"/>
      <c r="C421" s="999" t="s">
        <v>619</v>
      </c>
      <c r="D421" s="999"/>
      <c r="E421" s="1030" t="s">
        <v>795</v>
      </c>
      <c r="F421" s="1030"/>
      <c r="G421" s="1030"/>
      <c r="H421" s="1030"/>
      <c r="I421" s="1030"/>
      <c r="J421" s="1030"/>
      <c r="K421" s="1005" t="s">
        <v>620</v>
      </c>
      <c r="L421" s="1005"/>
      <c r="M421" s="510"/>
      <c r="N421" s="1006" t="s">
        <v>796</v>
      </c>
      <c r="O421" s="1006"/>
      <c r="P421" s="1006"/>
      <c r="Q421" s="510"/>
      <c r="R421" s="510"/>
      <c r="S421" s="510"/>
      <c r="T421" s="510"/>
      <c r="U421" s="510"/>
      <c r="V421" s="511"/>
    </row>
    <row r="422" spans="2:22" s="508" customFormat="1" ht="17.45" customHeight="1">
      <c r="B422" s="512"/>
      <c r="C422" s="999"/>
      <c r="D422" s="999"/>
      <c r="E422" s="1030"/>
      <c r="F422" s="1030"/>
      <c r="G422" s="1030"/>
      <c r="H422" s="1030"/>
      <c r="I422" s="1030"/>
      <c r="J422" s="1030"/>
      <c r="K422" s="1007" t="s">
        <v>622</v>
      </c>
      <c r="L422" s="1007"/>
      <c r="M422" s="513"/>
      <c r="N422" s="1008">
        <v>1</v>
      </c>
      <c r="O422" s="1008"/>
      <c r="P422" s="1008"/>
      <c r="Q422" s="513"/>
      <c r="R422" s="1007" t="s">
        <v>623</v>
      </c>
      <c r="S422" s="1007"/>
      <c r="T422" s="513"/>
      <c r="U422" s="514" t="s">
        <v>624</v>
      </c>
      <c r="V422" s="515"/>
    </row>
    <row r="423" spans="2:22" s="508" customFormat="1" ht="17.45" customHeight="1">
      <c r="B423" s="997" t="s">
        <v>625</v>
      </c>
      <c r="C423" s="997"/>
      <c r="D423" s="998" t="s">
        <v>259</v>
      </c>
      <c r="E423" s="998"/>
      <c r="F423" s="998"/>
      <c r="G423" s="998"/>
      <c r="H423" s="998"/>
      <c r="I423" s="998"/>
      <c r="J423" s="997" t="s">
        <v>266</v>
      </c>
      <c r="K423" s="997"/>
      <c r="L423" s="997" t="s">
        <v>270</v>
      </c>
      <c r="M423" s="997"/>
      <c r="N423" s="997"/>
      <c r="O423" s="998" t="s">
        <v>626</v>
      </c>
      <c r="P423" s="998"/>
      <c r="Q423" s="998"/>
      <c r="R423" s="998"/>
      <c r="S423" s="998" t="s">
        <v>627</v>
      </c>
      <c r="T423" s="998"/>
      <c r="U423" s="998"/>
      <c r="V423" s="998"/>
    </row>
    <row r="424" spans="2:22" s="508" customFormat="1" ht="17.45" customHeight="1">
      <c r="B424" s="516"/>
      <c r="C424" s="517" t="s">
        <v>774</v>
      </c>
      <c r="D424" s="1060" t="s">
        <v>775</v>
      </c>
      <c r="E424" s="1060"/>
      <c r="F424" s="1060"/>
      <c r="G424" s="1060"/>
      <c r="H424" s="1060"/>
      <c r="I424" s="1060"/>
      <c r="J424" s="1061" t="s">
        <v>633</v>
      </c>
      <c r="K424" s="1061"/>
      <c r="L424" s="1062">
        <v>0.104</v>
      </c>
      <c r="M424" s="1062"/>
      <c r="N424" s="1062"/>
      <c r="O424" s="1063">
        <v>21.1</v>
      </c>
      <c r="P424" s="1063"/>
      <c r="Q424" s="1063"/>
      <c r="R424" s="1063"/>
      <c r="S424" s="1064">
        <f>L424*O424</f>
        <v>2.1943999999999999</v>
      </c>
      <c r="T424" s="1064"/>
      <c r="U424" s="1064"/>
      <c r="V424" s="1064"/>
    </row>
    <row r="425" spans="2:22" s="508" customFormat="1" ht="17.45" customHeight="1">
      <c r="B425" s="518"/>
      <c r="C425" s="519" t="s">
        <v>634</v>
      </c>
      <c r="D425" s="1065" t="s">
        <v>635</v>
      </c>
      <c r="E425" s="1065"/>
      <c r="F425" s="1065"/>
      <c r="G425" s="1065"/>
      <c r="H425" s="1065"/>
      <c r="I425" s="1065"/>
      <c r="J425" s="1066" t="s">
        <v>633</v>
      </c>
      <c r="K425" s="1066"/>
      <c r="L425" s="1067">
        <v>0.156</v>
      </c>
      <c r="M425" s="1067"/>
      <c r="N425" s="1067"/>
      <c r="O425" s="1068">
        <v>16.829999999999998</v>
      </c>
      <c r="P425" s="1068"/>
      <c r="Q425" s="1068"/>
      <c r="R425" s="1068"/>
      <c r="S425" s="996">
        <f t="shared" ref="S425:S427" si="15">L425*O425</f>
        <v>2.6254799999999996</v>
      </c>
      <c r="T425" s="963"/>
      <c r="U425" s="963"/>
      <c r="V425" s="964"/>
    </row>
    <row r="426" spans="2:22" s="508" customFormat="1" ht="17.45" customHeight="1">
      <c r="B426" s="518"/>
      <c r="C426" s="519">
        <v>91533</v>
      </c>
      <c r="D426" s="1065" t="s">
        <v>798</v>
      </c>
      <c r="E426" s="1065"/>
      <c r="F426" s="1065"/>
      <c r="G426" s="1065"/>
      <c r="H426" s="1065"/>
      <c r="I426" s="1065"/>
      <c r="J426" s="1066" t="s">
        <v>698</v>
      </c>
      <c r="K426" s="1066"/>
      <c r="L426" s="1067">
        <v>3.0000000000000001E-3</v>
      </c>
      <c r="M426" s="1067"/>
      <c r="N426" s="1067"/>
      <c r="O426" s="1068">
        <v>24.6</v>
      </c>
      <c r="P426" s="1068"/>
      <c r="Q426" s="1068"/>
      <c r="R426" s="1068"/>
      <c r="S426" s="996">
        <f t="shared" si="15"/>
        <v>7.3800000000000004E-2</v>
      </c>
      <c r="T426" s="963"/>
      <c r="U426" s="963"/>
      <c r="V426" s="964"/>
    </row>
    <row r="427" spans="2:22" s="508" customFormat="1" ht="17.45" customHeight="1">
      <c r="B427" s="520"/>
      <c r="C427" s="521" t="s">
        <v>799</v>
      </c>
      <c r="D427" s="1069" t="s">
        <v>798</v>
      </c>
      <c r="E427" s="1069"/>
      <c r="F427" s="1069"/>
      <c r="G427" s="1069"/>
      <c r="H427" s="1069"/>
      <c r="I427" s="1069"/>
      <c r="J427" s="1070" t="s">
        <v>706</v>
      </c>
      <c r="K427" s="1070"/>
      <c r="L427" s="1071">
        <v>3.0000000000000001E-3</v>
      </c>
      <c r="M427" s="1071"/>
      <c r="N427" s="1071"/>
      <c r="O427" s="1072">
        <v>16.88</v>
      </c>
      <c r="P427" s="1072"/>
      <c r="Q427" s="1072"/>
      <c r="R427" s="1072"/>
      <c r="S427" s="1024">
        <f t="shared" si="15"/>
        <v>5.0639999999999998E-2</v>
      </c>
      <c r="T427" s="1025"/>
      <c r="U427" s="1025"/>
      <c r="V427" s="1026"/>
    </row>
    <row r="428" spans="2:22" s="508" customFormat="1" ht="17.45" customHeight="1">
      <c r="B428" s="965"/>
      <c r="C428" s="965"/>
      <c r="D428" s="965"/>
      <c r="E428" s="965"/>
      <c r="F428" s="965"/>
      <c r="G428" s="965"/>
      <c r="H428" s="965"/>
      <c r="I428" s="966" t="s">
        <v>645</v>
      </c>
      <c r="J428" s="966"/>
      <c r="K428" s="966"/>
      <c r="L428" s="966"/>
      <c r="M428" s="966"/>
      <c r="N428" s="966"/>
      <c r="O428" s="966"/>
      <c r="P428" s="966"/>
      <c r="Q428" s="966"/>
      <c r="R428" s="966"/>
      <c r="S428" s="1029">
        <f>SUM(S424:V427)</f>
        <v>4.9443199999999994</v>
      </c>
      <c r="T428" s="1029"/>
      <c r="U428" s="1029"/>
      <c r="V428" s="1029"/>
    </row>
    <row r="429" spans="2:22" s="508" customFormat="1" ht="17.45" customHeight="1">
      <c r="B429" s="967"/>
      <c r="C429" s="967"/>
      <c r="D429" s="967"/>
      <c r="E429" s="967"/>
      <c r="F429" s="967"/>
      <c r="G429" s="967"/>
      <c r="H429" s="967"/>
      <c r="I429" s="967"/>
      <c r="J429" s="967"/>
      <c r="K429" s="967"/>
      <c r="L429" s="967"/>
      <c r="M429" s="967"/>
      <c r="N429" s="967"/>
      <c r="O429" s="967"/>
      <c r="P429" s="967"/>
      <c r="Q429" s="967"/>
      <c r="R429" s="967"/>
      <c r="S429" s="967"/>
      <c r="T429" s="967"/>
      <c r="U429" s="967"/>
      <c r="V429" s="967"/>
    </row>
    <row r="430" spans="2:22" s="508" customFormat="1" ht="17.45" customHeight="1">
      <c r="B430" s="968"/>
      <c r="C430" s="968"/>
      <c r="D430" s="968"/>
      <c r="E430" s="968"/>
      <c r="F430" s="968"/>
      <c r="G430" s="968"/>
      <c r="H430" s="968"/>
      <c r="I430" s="969" t="s">
        <v>646</v>
      </c>
      <c r="J430" s="969"/>
      <c r="K430" s="969"/>
      <c r="L430" s="969"/>
      <c r="M430" s="969"/>
      <c r="N430" s="969"/>
      <c r="O430" s="969"/>
      <c r="P430" s="969"/>
      <c r="Q430" s="969"/>
      <c r="R430" s="969"/>
      <c r="S430" s="963">
        <f>S428</f>
        <v>4.9443199999999994</v>
      </c>
      <c r="T430" s="963"/>
      <c r="U430" s="963"/>
      <c r="V430" s="964"/>
    </row>
    <row r="431" spans="2:22" s="508" customFormat="1" ht="17.45" customHeight="1">
      <c r="B431" s="968"/>
      <c r="C431" s="968"/>
      <c r="D431" s="968"/>
      <c r="E431" s="968"/>
      <c r="F431" s="968"/>
      <c r="G431" s="968"/>
      <c r="H431" s="969" t="s">
        <v>647</v>
      </c>
      <c r="I431" s="969"/>
      <c r="J431" s="969"/>
      <c r="K431" s="969"/>
      <c r="L431" s="969"/>
      <c r="M431" s="970">
        <v>20.7</v>
      </c>
      <c r="N431" s="970"/>
      <c r="O431" s="970"/>
      <c r="P431" s="969" t="s">
        <v>648</v>
      </c>
      <c r="Q431" s="969"/>
      <c r="R431" s="969"/>
      <c r="S431" s="963">
        <f>S430*M431%</f>
        <v>1.0234742399999999</v>
      </c>
      <c r="T431" s="963"/>
      <c r="U431" s="963"/>
      <c r="V431" s="964"/>
    </row>
    <row r="432" spans="2:22" s="508" customFormat="1" ht="17.45" customHeight="1">
      <c r="B432" s="968"/>
      <c r="C432" s="968"/>
      <c r="D432" s="968"/>
      <c r="E432" s="968"/>
      <c r="F432" s="968"/>
      <c r="G432" s="968"/>
      <c r="H432" s="968"/>
      <c r="I432" s="969" t="s">
        <v>649</v>
      </c>
      <c r="J432" s="969"/>
      <c r="K432" s="969"/>
      <c r="L432" s="969"/>
      <c r="M432" s="969"/>
      <c r="N432" s="969"/>
      <c r="O432" s="969"/>
      <c r="P432" s="969"/>
      <c r="Q432" s="969"/>
      <c r="R432" s="969"/>
      <c r="S432" s="963">
        <f>S430+S431</f>
        <v>5.967794239999999</v>
      </c>
      <c r="T432" s="963"/>
      <c r="U432" s="963"/>
      <c r="V432" s="964"/>
    </row>
    <row r="433" spans="2:22" s="508" customFormat="1" ht="144.94999999999999" customHeight="1">
      <c r="B433" s="522"/>
      <c r="C433" s="523"/>
      <c r="D433" s="524"/>
      <c r="E433" s="524"/>
      <c r="F433" s="524"/>
      <c r="G433" s="524"/>
      <c r="H433" s="524"/>
      <c r="I433" s="524"/>
      <c r="J433" s="524"/>
      <c r="K433" s="523"/>
      <c r="L433" s="523"/>
      <c r="M433" s="523"/>
      <c r="N433" s="523"/>
      <c r="O433" s="523"/>
      <c r="P433" s="523"/>
      <c r="Q433" s="523"/>
      <c r="R433" s="523"/>
      <c r="S433" s="523"/>
      <c r="T433" s="523"/>
      <c r="U433" s="523"/>
      <c r="V433" s="525"/>
    </row>
    <row r="434" spans="2:22" s="508" customFormat="1" ht="144.94999999999999" customHeight="1">
      <c r="B434" s="522"/>
      <c r="C434" s="523"/>
      <c r="D434" s="524"/>
      <c r="E434" s="524"/>
      <c r="F434" s="524"/>
      <c r="G434" s="524"/>
      <c r="H434" s="524"/>
      <c r="I434" s="524"/>
      <c r="J434" s="524"/>
      <c r="K434" s="523"/>
      <c r="L434" s="523"/>
      <c r="M434" s="523"/>
      <c r="N434" s="523"/>
      <c r="O434" s="523"/>
      <c r="P434" s="523"/>
      <c r="Q434" s="523"/>
      <c r="R434" s="523"/>
      <c r="S434" s="523"/>
      <c r="T434" s="523"/>
      <c r="U434" s="523"/>
      <c r="V434" s="525"/>
    </row>
    <row r="435" spans="2:22" s="508" customFormat="1" ht="144.94999999999999" customHeight="1">
      <c r="B435" s="522"/>
      <c r="C435" s="523"/>
      <c r="D435" s="524"/>
      <c r="E435" s="524"/>
      <c r="F435" s="524"/>
      <c r="G435" s="524"/>
      <c r="H435" s="524"/>
      <c r="I435" s="524"/>
      <c r="J435" s="524"/>
      <c r="K435" s="523"/>
      <c r="L435" s="523"/>
      <c r="M435" s="523"/>
      <c r="N435" s="523"/>
      <c r="O435" s="523"/>
      <c r="P435" s="523"/>
      <c r="Q435" s="523"/>
      <c r="R435" s="523"/>
      <c r="S435" s="523"/>
      <c r="T435" s="523"/>
      <c r="U435" s="523"/>
      <c r="V435" s="525"/>
    </row>
    <row r="436" spans="2:22" s="508" customFormat="1" ht="17.45" customHeight="1">
      <c r="B436" s="512"/>
      <c r="C436" s="513"/>
      <c r="D436" s="526"/>
      <c r="E436" s="526"/>
      <c r="F436" s="526"/>
      <c r="G436" s="526"/>
      <c r="H436" s="526"/>
      <c r="I436" s="526"/>
      <c r="J436" s="526"/>
      <c r="K436" s="513"/>
      <c r="L436" s="513"/>
      <c r="M436" s="513"/>
      <c r="N436" s="513"/>
      <c r="O436" s="513"/>
      <c r="P436" s="513"/>
      <c r="Q436" s="513"/>
      <c r="R436" s="513"/>
      <c r="S436" s="513"/>
      <c r="T436" s="513"/>
      <c r="U436" s="513"/>
      <c r="V436" s="515"/>
    </row>
    <row r="437" spans="2:22" s="508" customFormat="1" ht="17.45" customHeight="1">
      <c r="B437" s="530"/>
      <c r="C437" s="999" t="s">
        <v>617</v>
      </c>
      <c r="D437" s="999"/>
      <c r="E437" s="999"/>
      <c r="F437" s="505"/>
      <c r="G437" s="1000" t="s">
        <v>821</v>
      </c>
      <c r="H437" s="1000"/>
      <c r="I437" s="1000"/>
      <c r="J437" s="1000"/>
      <c r="K437" s="1000"/>
      <c r="L437" s="1000"/>
      <c r="M437" s="506"/>
      <c r="N437" s="1000" t="s">
        <v>618</v>
      </c>
      <c r="O437" s="1000"/>
      <c r="P437" s="1000"/>
      <c r="Q437" s="1000"/>
      <c r="R437" s="1000"/>
      <c r="S437" s="1000"/>
      <c r="T437" s="1000"/>
      <c r="U437" s="1000"/>
      <c r="V437" s="507"/>
    </row>
    <row r="438" spans="2:22" s="508" customFormat="1" ht="17.45" customHeight="1">
      <c r="B438" s="509"/>
      <c r="C438" s="999" t="s">
        <v>619</v>
      </c>
      <c r="D438" s="999"/>
      <c r="E438" s="1030" t="s">
        <v>800</v>
      </c>
      <c r="F438" s="1030"/>
      <c r="G438" s="1030"/>
      <c r="H438" s="1030"/>
      <c r="I438" s="1030"/>
      <c r="J438" s="1030"/>
      <c r="K438" s="1005" t="s">
        <v>620</v>
      </c>
      <c r="L438" s="1005"/>
      <c r="M438" s="510"/>
      <c r="N438" s="1006" t="s">
        <v>801</v>
      </c>
      <c r="O438" s="1006"/>
      <c r="P438" s="1006"/>
      <c r="Q438" s="510"/>
      <c r="R438" s="510"/>
      <c r="S438" s="510"/>
      <c r="T438" s="510"/>
      <c r="U438" s="510"/>
      <c r="V438" s="511"/>
    </row>
    <row r="439" spans="2:22" s="508" customFormat="1" ht="17.45" customHeight="1">
      <c r="B439" s="512"/>
      <c r="C439" s="999"/>
      <c r="D439" s="999"/>
      <c r="E439" s="1030"/>
      <c r="F439" s="1030"/>
      <c r="G439" s="1030"/>
      <c r="H439" s="1030"/>
      <c r="I439" s="1030"/>
      <c r="J439" s="1030"/>
      <c r="K439" s="1007" t="s">
        <v>622</v>
      </c>
      <c r="L439" s="1007"/>
      <c r="M439" s="513"/>
      <c r="N439" s="1008">
        <v>1</v>
      </c>
      <c r="O439" s="1008"/>
      <c r="P439" s="1008"/>
      <c r="Q439" s="513"/>
      <c r="R439" s="1007" t="s">
        <v>623</v>
      </c>
      <c r="S439" s="1007"/>
      <c r="T439" s="513"/>
      <c r="U439" s="514" t="s">
        <v>630</v>
      </c>
      <c r="V439" s="515"/>
    </row>
    <row r="440" spans="2:22" s="508" customFormat="1" ht="17.45" customHeight="1">
      <c r="B440" s="997" t="s">
        <v>625</v>
      </c>
      <c r="C440" s="997"/>
      <c r="D440" s="998" t="s">
        <v>259</v>
      </c>
      <c r="E440" s="998"/>
      <c r="F440" s="998"/>
      <c r="G440" s="998"/>
      <c r="H440" s="998"/>
      <c r="I440" s="998"/>
      <c r="J440" s="997" t="s">
        <v>266</v>
      </c>
      <c r="K440" s="997"/>
      <c r="L440" s="997" t="s">
        <v>270</v>
      </c>
      <c r="M440" s="997"/>
      <c r="N440" s="997"/>
      <c r="O440" s="998" t="s">
        <v>626</v>
      </c>
      <c r="P440" s="998"/>
      <c r="Q440" s="998"/>
      <c r="R440" s="998"/>
      <c r="S440" s="998" t="s">
        <v>627</v>
      </c>
      <c r="T440" s="998"/>
      <c r="U440" s="998"/>
      <c r="V440" s="998"/>
    </row>
    <row r="441" spans="2:22" s="508" customFormat="1" ht="17.45" customHeight="1">
      <c r="B441" s="516"/>
      <c r="C441" s="517" t="s">
        <v>774</v>
      </c>
      <c r="D441" s="1060" t="s">
        <v>775</v>
      </c>
      <c r="E441" s="1060"/>
      <c r="F441" s="1060"/>
      <c r="G441" s="1060"/>
      <c r="H441" s="1060"/>
      <c r="I441" s="1060"/>
      <c r="J441" s="1061" t="s">
        <v>633</v>
      </c>
      <c r="K441" s="1061"/>
      <c r="L441" s="1062">
        <v>2.5459999999999998</v>
      </c>
      <c r="M441" s="1062"/>
      <c r="N441" s="1062"/>
      <c r="O441" s="1063">
        <v>21.1</v>
      </c>
      <c r="P441" s="1063"/>
      <c r="Q441" s="1063"/>
      <c r="R441" s="1063"/>
      <c r="S441" s="1064">
        <f>L441*O441</f>
        <v>53.720599999999997</v>
      </c>
      <c r="T441" s="1064"/>
      <c r="U441" s="1064"/>
      <c r="V441" s="1064"/>
    </row>
    <row r="442" spans="2:22" s="508" customFormat="1" ht="17.45" customHeight="1">
      <c r="B442" s="518"/>
      <c r="C442" s="519" t="s">
        <v>634</v>
      </c>
      <c r="D442" s="1065" t="s">
        <v>635</v>
      </c>
      <c r="E442" s="1065"/>
      <c r="F442" s="1065"/>
      <c r="G442" s="1065"/>
      <c r="H442" s="1065"/>
      <c r="I442" s="1065"/>
      <c r="J442" s="1066" t="s">
        <v>633</v>
      </c>
      <c r="K442" s="1066"/>
      <c r="L442" s="1067">
        <v>3.819</v>
      </c>
      <c r="M442" s="1067"/>
      <c r="N442" s="1067"/>
      <c r="O442" s="1068">
        <v>16.829999999999998</v>
      </c>
      <c r="P442" s="1068"/>
      <c r="Q442" s="1068"/>
      <c r="R442" s="1068"/>
      <c r="S442" s="996">
        <f t="shared" ref="S442:S445" si="16">L442*O442</f>
        <v>64.273769999999999</v>
      </c>
      <c r="T442" s="963"/>
      <c r="U442" s="963"/>
      <c r="V442" s="964"/>
    </row>
    <row r="443" spans="2:22" s="508" customFormat="1" ht="17.45" customHeight="1">
      <c r="B443" s="518"/>
      <c r="C443" s="519" t="s">
        <v>797</v>
      </c>
      <c r="D443" s="1065" t="s">
        <v>798</v>
      </c>
      <c r="E443" s="1065"/>
      <c r="F443" s="1065"/>
      <c r="G443" s="1065"/>
      <c r="H443" s="1065"/>
      <c r="I443" s="1065"/>
      <c r="J443" s="1066" t="s">
        <v>698</v>
      </c>
      <c r="K443" s="1066"/>
      <c r="L443" s="1067">
        <v>6.9000000000000006E-2</v>
      </c>
      <c r="M443" s="1067"/>
      <c r="N443" s="1067"/>
      <c r="O443" s="1068">
        <v>24.6</v>
      </c>
      <c r="P443" s="1068"/>
      <c r="Q443" s="1068"/>
      <c r="R443" s="1068"/>
      <c r="S443" s="996">
        <f t="shared" si="16"/>
        <v>1.6974000000000002</v>
      </c>
      <c r="T443" s="963"/>
      <c r="U443" s="963"/>
      <c r="V443" s="964"/>
    </row>
    <row r="444" spans="2:22" s="508" customFormat="1" ht="17.45" customHeight="1">
      <c r="B444" s="518"/>
      <c r="C444" s="519" t="s">
        <v>799</v>
      </c>
      <c r="D444" s="1065" t="s">
        <v>798</v>
      </c>
      <c r="E444" s="1065"/>
      <c r="F444" s="1065"/>
      <c r="G444" s="1065"/>
      <c r="H444" s="1065"/>
      <c r="I444" s="1065"/>
      <c r="J444" s="1066" t="s">
        <v>706</v>
      </c>
      <c r="K444" s="1066"/>
      <c r="L444" s="1067">
        <v>6.4000000000000001E-2</v>
      </c>
      <c r="M444" s="1067"/>
      <c r="N444" s="1067"/>
      <c r="O444" s="1068">
        <v>16.88</v>
      </c>
      <c r="P444" s="1068"/>
      <c r="Q444" s="1068"/>
      <c r="R444" s="1068"/>
      <c r="S444" s="996">
        <f t="shared" si="16"/>
        <v>1.0803199999999999</v>
      </c>
      <c r="T444" s="963"/>
      <c r="U444" s="963"/>
      <c r="V444" s="964"/>
    </row>
    <row r="445" spans="2:22" s="508" customFormat="1" ht="17.45" customHeight="1">
      <c r="B445" s="520"/>
      <c r="C445" s="521" t="s">
        <v>802</v>
      </c>
      <c r="D445" s="1069" t="s">
        <v>803</v>
      </c>
      <c r="E445" s="1069"/>
      <c r="F445" s="1069"/>
      <c r="G445" s="1069"/>
      <c r="H445" s="1069"/>
      <c r="I445" s="1069"/>
      <c r="J445" s="1070" t="s">
        <v>630</v>
      </c>
      <c r="K445" s="1070"/>
      <c r="L445" s="1071">
        <v>1.1000000000000001</v>
      </c>
      <c r="M445" s="1071"/>
      <c r="N445" s="1071"/>
      <c r="O445" s="1072">
        <v>81.31</v>
      </c>
      <c r="P445" s="1072"/>
      <c r="Q445" s="1072"/>
      <c r="R445" s="1072"/>
      <c r="S445" s="1024">
        <f t="shared" si="16"/>
        <v>89.441000000000017</v>
      </c>
      <c r="T445" s="1025"/>
      <c r="U445" s="1025"/>
      <c r="V445" s="1026"/>
    </row>
    <row r="446" spans="2:22" s="508" customFormat="1" ht="17.45" customHeight="1">
      <c r="B446" s="965"/>
      <c r="C446" s="965"/>
      <c r="D446" s="965"/>
      <c r="E446" s="965"/>
      <c r="F446" s="965"/>
      <c r="G446" s="965"/>
      <c r="H446" s="965"/>
      <c r="I446" s="966" t="s">
        <v>645</v>
      </c>
      <c r="J446" s="966"/>
      <c r="K446" s="966"/>
      <c r="L446" s="966"/>
      <c r="M446" s="966"/>
      <c r="N446" s="966"/>
      <c r="O446" s="966"/>
      <c r="P446" s="966"/>
      <c r="Q446" s="966"/>
      <c r="R446" s="966"/>
      <c r="S446" s="1029">
        <f>SUM(S441:V445)</f>
        <v>210.21309000000002</v>
      </c>
      <c r="T446" s="1029"/>
      <c r="U446" s="1029"/>
      <c r="V446" s="1029"/>
    </row>
    <row r="447" spans="2:22" s="508" customFormat="1" ht="17.45" customHeight="1">
      <c r="B447" s="967"/>
      <c r="C447" s="967"/>
      <c r="D447" s="967"/>
      <c r="E447" s="967"/>
      <c r="F447" s="967"/>
      <c r="G447" s="967"/>
      <c r="H447" s="967"/>
      <c r="I447" s="967"/>
      <c r="J447" s="967"/>
      <c r="K447" s="967"/>
      <c r="L447" s="967"/>
      <c r="M447" s="967"/>
      <c r="N447" s="967"/>
      <c r="O447" s="967"/>
      <c r="P447" s="967"/>
      <c r="Q447" s="967"/>
      <c r="R447" s="967"/>
      <c r="S447" s="967"/>
      <c r="T447" s="967"/>
      <c r="U447" s="967"/>
      <c r="V447" s="967"/>
    </row>
    <row r="448" spans="2:22" s="508" customFormat="1" ht="17.45" customHeight="1">
      <c r="B448" s="968"/>
      <c r="C448" s="968"/>
      <c r="D448" s="968"/>
      <c r="E448" s="968"/>
      <c r="F448" s="968"/>
      <c r="G448" s="968"/>
      <c r="H448" s="968"/>
      <c r="I448" s="969" t="s">
        <v>646</v>
      </c>
      <c r="J448" s="969"/>
      <c r="K448" s="969"/>
      <c r="L448" s="969"/>
      <c r="M448" s="969"/>
      <c r="N448" s="969"/>
      <c r="O448" s="969"/>
      <c r="P448" s="969"/>
      <c r="Q448" s="969"/>
      <c r="R448" s="969"/>
      <c r="S448" s="963">
        <f>S446</f>
        <v>210.21309000000002</v>
      </c>
      <c r="T448" s="963"/>
      <c r="U448" s="963"/>
      <c r="V448" s="964"/>
    </row>
    <row r="449" spans="2:22" s="508" customFormat="1" ht="17.45" customHeight="1">
      <c r="B449" s="968"/>
      <c r="C449" s="968"/>
      <c r="D449" s="968"/>
      <c r="E449" s="968"/>
      <c r="F449" s="968"/>
      <c r="G449" s="968"/>
      <c r="H449" s="969" t="s">
        <v>647</v>
      </c>
      <c r="I449" s="969"/>
      <c r="J449" s="969"/>
      <c r="K449" s="969"/>
      <c r="L449" s="969"/>
      <c r="M449" s="970">
        <v>20.7</v>
      </c>
      <c r="N449" s="970"/>
      <c r="O449" s="970"/>
      <c r="P449" s="969" t="s">
        <v>648</v>
      </c>
      <c r="Q449" s="969"/>
      <c r="R449" s="969"/>
      <c r="S449" s="963">
        <f>S448*M449%</f>
        <v>43.51410963</v>
      </c>
      <c r="T449" s="963"/>
      <c r="U449" s="963"/>
      <c r="V449" s="964"/>
    </row>
    <row r="450" spans="2:22" s="508" customFormat="1" ht="17.45" customHeight="1">
      <c r="B450" s="968"/>
      <c r="C450" s="968"/>
      <c r="D450" s="968"/>
      <c r="E450" s="968"/>
      <c r="F450" s="968"/>
      <c r="G450" s="968"/>
      <c r="H450" s="968"/>
      <c r="I450" s="969" t="s">
        <v>649</v>
      </c>
      <c r="J450" s="969"/>
      <c r="K450" s="969"/>
      <c r="L450" s="969"/>
      <c r="M450" s="969"/>
      <c r="N450" s="969"/>
      <c r="O450" s="969"/>
      <c r="P450" s="969"/>
      <c r="Q450" s="969"/>
      <c r="R450" s="969"/>
      <c r="S450" s="963">
        <f>S448+S449</f>
        <v>253.72719963000003</v>
      </c>
      <c r="T450" s="963"/>
      <c r="U450" s="963"/>
      <c r="V450" s="964"/>
    </row>
    <row r="451" spans="2:22" s="508" customFormat="1" ht="144.94999999999999" customHeight="1">
      <c r="B451" s="522"/>
      <c r="C451" s="523"/>
      <c r="D451" s="524"/>
      <c r="E451" s="524"/>
      <c r="F451" s="524"/>
      <c r="G451" s="524"/>
      <c r="H451" s="524"/>
      <c r="I451" s="524"/>
      <c r="J451" s="524"/>
      <c r="K451" s="523"/>
      <c r="L451" s="523"/>
      <c r="M451" s="523"/>
      <c r="N451" s="523"/>
      <c r="O451" s="523"/>
      <c r="P451" s="523"/>
      <c r="Q451" s="523"/>
      <c r="R451" s="523"/>
      <c r="S451" s="523"/>
      <c r="T451" s="523"/>
      <c r="U451" s="523"/>
      <c r="V451" s="525"/>
    </row>
    <row r="452" spans="2:22" s="508" customFormat="1" ht="144.94999999999999" customHeight="1">
      <c r="B452" s="522"/>
      <c r="C452" s="523"/>
      <c r="D452" s="524"/>
      <c r="E452" s="524"/>
      <c r="F452" s="524"/>
      <c r="G452" s="524"/>
      <c r="H452" s="524"/>
      <c r="I452" s="524"/>
      <c r="J452" s="524"/>
      <c r="K452" s="523"/>
      <c r="L452" s="523"/>
      <c r="M452" s="523"/>
      <c r="N452" s="523"/>
      <c r="O452" s="523"/>
      <c r="P452" s="523"/>
      <c r="Q452" s="523"/>
      <c r="R452" s="523"/>
      <c r="S452" s="523"/>
      <c r="T452" s="523"/>
      <c r="U452" s="523"/>
      <c r="V452" s="525"/>
    </row>
    <row r="453" spans="2:22" s="508" customFormat="1" ht="144.94999999999999" customHeight="1">
      <c r="B453" s="522"/>
      <c r="C453" s="523"/>
      <c r="D453" s="524"/>
      <c r="E453" s="524"/>
      <c r="F453" s="524"/>
      <c r="G453" s="524"/>
      <c r="H453" s="524"/>
      <c r="I453" s="524"/>
      <c r="J453" s="524"/>
      <c r="K453" s="523"/>
      <c r="L453" s="523"/>
      <c r="M453" s="523"/>
      <c r="N453" s="523"/>
      <c r="O453" s="523"/>
      <c r="P453" s="523"/>
      <c r="Q453" s="523"/>
      <c r="R453" s="523"/>
      <c r="S453" s="523"/>
      <c r="T453" s="523"/>
      <c r="U453" s="523"/>
      <c r="V453" s="525"/>
    </row>
    <row r="454" spans="2:22" s="508" customFormat="1" ht="17.45" customHeight="1">
      <c r="B454" s="512"/>
      <c r="C454" s="513"/>
      <c r="D454" s="526"/>
      <c r="E454" s="526"/>
      <c r="F454" s="526"/>
      <c r="G454" s="526"/>
      <c r="H454" s="526"/>
      <c r="I454" s="526"/>
      <c r="J454" s="526"/>
      <c r="K454" s="513"/>
      <c r="L454" s="513"/>
      <c r="M454" s="513"/>
      <c r="N454" s="513"/>
      <c r="O454" s="513"/>
      <c r="P454" s="513"/>
      <c r="Q454" s="513"/>
      <c r="R454" s="513"/>
      <c r="S454" s="513"/>
      <c r="T454" s="513"/>
      <c r="U454" s="513"/>
      <c r="V454" s="515"/>
    </row>
    <row r="455" spans="2:22" ht="17.45" customHeight="1">
      <c r="B455" s="503"/>
      <c r="C455" s="1075" t="s">
        <v>617</v>
      </c>
      <c r="D455" s="1075"/>
      <c r="E455" s="1075"/>
      <c r="F455" s="466"/>
      <c r="G455" s="1000" t="s">
        <v>821</v>
      </c>
      <c r="H455" s="1000"/>
      <c r="I455" s="1000"/>
      <c r="J455" s="1000"/>
      <c r="K455" s="1000"/>
      <c r="L455" s="1000"/>
      <c r="M455" s="506"/>
      <c r="N455" s="1000" t="s">
        <v>618</v>
      </c>
      <c r="O455" s="1000"/>
      <c r="P455" s="1000"/>
      <c r="Q455" s="1000"/>
      <c r="R455" s="1000"/>
      <c r="S455" s="1000"/>
      <c r="T455" s="1000"/>
      <c r="U455" s="1000"/>
      <c r="V455" s="467"/>
    </row>
    <row r="456" spans="2:22" ht="17.45" customHeight="1">
      <c r="B456" s="468"/>
      <c r="C456" s="1075" t="s">
        <v>619</v>
      </c>
      <c r="D456" s="1075"/>
      <c r="E456" s="1089" t="s">
        <v>804</v>
      </c>
      <c r="F456" s="1089"/>
      <c r="G456" s="1089"/>
      <c r="H456" s="1089"/>
      <c r="I456" s="1089"/>
      <c r="J456" s="1089"/>
      <c r="K456" s="1090" t="s">
        <v>620</v>
      </c>
      <c r="L456" s="1090"/>
      <c r="M456" s="469"/>
      <c r="N456" s="1091" t="s">
        <v>805</v>
      </c>
      <c r="O456" s="1091"/>
      <c r="P456" s="1091"/>
      <c r="Q456" s="469"/>
      <c r="R456" s="469"/>
      <c r="S456" s="469"/>
      <c r="T456" s="469"/>
      <c r="U456" s="469"/>
      <c r="V456" s="470"/>
    </row>
    <row r="457" spans="2:22" ht="17.45" customHeight="1">
      <c r="B457" s="471"/>
      <c r="C457" s="1075"/>
      <c r="D457" s="1075"/>
      <c r="E457" s="1089"/>
      <c r="F457" s="1089"/>
      <c r="G457" s="1089"/>
      <c r="H457" s="1089"/>
      <c r="I457" s="1089"/>
      <c r="J457" s="1089"/>
      <c r="K457" s="1086" t="s">
        <v>622</v>
      </c>
      <c r="L457" s="1086"/>
      <c r="M457" s="472"/>
      <c r="N457" s="1092">
        <v>1</v>
      </c>
      <c r="O457" s="1092"/>
      <c r="P457" s="1092"/>
      <c r="Q457" s="472"/>
      <c r="R457" s="1086" t="s">
        <v>623</v>
      </c>
      <c r="S457" s="1086"/>
      <c r="T457" s="472"/>
      <c r="U457" s="473" t="s">
        <v>630</v>
      </c>
      <c r="V457" s="474"/>
    </row>
    <row r="458" spans="2:22" ht="17.45" customHeight="1">
      <c r="B458" s="1087" t="s">
        <v>625</v>
      </c>
      <c r="C458" s="1087"/>
      <c r="D458" s="1088" t="s">
        <v>259</v>
      </c>
      <c r="E458" s="1088"/>
      <c r="F458" s="1088"/>
      <c r="G458" s="1088"/>
      <c r="H458" s="1088"/>
      <c r="I458" s="1088"/>
      <c r="J458" s="1087" t="s">
        <v>266</v>
      </c>
      <c r="K458" s="1087"/>
      <c r="L458" s="1087" t="s">
        <v>270</v>
      </c>
      <c r="M458" s="1087"/>
      <c r="N458" s="1087"/>
      <c r="O458" s="1088" t="s">
        <v>626</v>
      </c>
      <c r="P458" s="1088"/>
      <c r="Q458" s="1088"/>
      <c r="R458" s="1088"/>
      <c r="S458" s="1088" t="s">
        <v>627</v>
      </c>
      <c r="T458" s="1088"/>
      <c r="U458" s="1088"/>
      <c r="V458" s="1088"/>
    </row>
    <row r="459" spans="2:22" ht="17.45" customHeight="1">
      <c r="B459" s="468"/>
      <c r="C459" s="500" t="s">
        <v>760</v>
      </c>
      <c r="D459" s="1076" t="s">
        <v>761</v>
      </c>
      <c r="E459" s="1076"/>
      <c r="F459" s="1076"/>
      <c r="G459" s="1076"/>
      <c r="H459" s="1076"/>
      <c r="I459" s="1076"/>
      <c r="J459" s="1077" t="s">
        <v>698</v>
      </c>
      <c r="K459" s="1077"/>
      <c r="L459" s="1078">
        <v>3.0000000000000001E-3</v>
      </c>
      <c r="M459" s="1078"/>
      <c r="N459" s="1078"/>
      <c r="O459" s="1079">
        <v>180.88</v>
      </c>
      <c r="P459" s="1079"/>
      <c r="Q459" s="1079"/>
      <c r="R459" s="1079"/>
      <c r="S459" s="1080">
        <v>0.46</v>
      </c>
      <c r="T459" s="1080"/>
      <c r="U459" s="1080"/>
      <c r="V459" s="1080"/>
    </row>
    <row r="460" spans="2:22" ht="17.45" customHeight="1">
      <c r="B460" s="475"/>
      <c r="C460" s="501" t="s">
        <v>806</v>
      </c>
      <c r="D460" s="1081" t="s">
        <v>807</v>
      </c>
      <c r="E460" s="1081"/>
      <c r="F460" s="1081"/>
      <c r="G460" s="1081"/>
      <c r="H460" s="1081"/>
      <c r="I460" s="1081"/>
      <c r="J460" s="1082" t="s">
        <v>698</v>
      </c>
      <c r="K460" s="1082"/>
      <c r="L460" s="1083">
        <v>8.0000000000000002E-3</v>
      </c>
      <c r="M460" s="1083"/>
      <c r="N460" s="1083"/>
      <c r="O460" s="1084">
        <v>153.30000000000001</v>
      </c>
      <c r="P460" s="1084"/>
      <c r="Q460" s="1084"/>
      <c r="R460" s="1084"/>
      <c r="S460" s="1085">
        <v>1.17</v>
      </c>
      <c r="T460" s="1085"/>
      <c r="U460" s="1085"/>
      <c r="V460" s="1085"/>
    </row>
    <row r="461" spans="2:22" ht="17.45" customHeight="1">
      <c r="B461" s="471"/>
      <c r="C461" s="502" t="s">
        <v>634</v>
      </c>
      <c r="D461" s="1098" t="s">
        <v>635</v>
      </c>
      <c r="E461" s="1098"/>
      <c r="F461" s="1098"/>
      <c r="G461" s="1098"/>
      <c r="H461" s="1098"/>
      <c r="I461" s="1098"/>
      <c r="J461" s="1099" t="s">
        <v>633</v>
      </c>
      <c r="K461" s="1099"/>
      <c r="L461" s="1100">
        <v>8.0000000000000002E-3</v>
      </c>
      <c r="M461" s="1100"/>
      <c r="N461" s="1100"/>
      <c r="O461" s="1101">
        <v>16.829999999999998</v>
      </c>
      <c r="P461" s="1101"/>
      <c r="Q461" s="1101"/>
      <c r="R461" s="1101"/>
      <c r="S461" s="1102">
        <v>0.12</v>
      </c>
      <c r="T461" s="1102"/>
      <c r="U461" s="1102"/>
      <c r="V461" s="1102"/>
    </row>
    <row r="462" spans="2:22" ht="17.45" customHeight="1">
      <c r="B462" s="1103"/>
      <c r="C462" s="1103"/>
      <c r="D462" s="1103"/>
      <c r="E462" s="1103"/>
      <c r="F462" s="1103"/>
      <c r="G462" s="1103"/>
      <c r="H462" s="1103"/>
      <c r="I462" s="1104" t="s">
        <v>645</v>
      </c>
      <c r="J462" s="1104"/>
      <c r="K462" s="1104"/>
      <c r="L462" s="1104"/>
      <c r="M462" s="1104"/>
      <c r="N462" s="1104"/>
      <c r="O462" s="1104"/>
      <c r="P462" s="1104"/>
      <c r="Q462" s="1104"/>
      <c r="R462" s="1104"/>
      <c r="S462" s="1105">
        <v>1.75</v>
      </c>
      <c r="T462" s="1105"/>
      <c r="U462" s="1105"/>
      <c r="V462" s="1105"/>
    </row>
    <row r="463" spans="2:22" ht="17.45" customHeight="1">
      <c r="B463" s="1093"/>
      <c r="C463" s="1093"/>
      <c r="D463" s="1093"/>
      <c r="E463" s="1093"/>
      <c r="F463" s="1093"/>
      <c r="G463" s="1093"/>
      <c r="H463" s="1093"/>
      <c r="I463" s="1093"/>
      <c r="J463" s="1093"/>
      <c r="K463" s="1093"/>
      <c r="L463" s="1093"/>
      <c r="M463" s="1093"/>
      <c r="N463" s="1093"/>
      <c r="O463" s="1093"/>
      <c r="P463" s="1093"/>
      <c r="Q463" s="1093"/>
      <c r="R463" s="1093"/>
      <c r="S463" s="1093"/>
      <c r="T463" s="1093"/>
      <c r="U463" s="1093"/>
      <c r="V463" s="1093"/>
    </row>
    <row r="464" spans="2:22" ht="17.45" customHeight="1">
      <c r="B464" s="1094"/>
      <c r="C464" s="1094"/>
      <c r="D464" s="1094"/>
      <c r="E464" s="1094"/>
      <c r="F464" s="1094"/>
      <c r="G464" s="1094"/>
      <c r="H464" s="1094"/>
      <c r="I464" s="1095" t="s">
        <v>646</v>
      </c>
      <c r="J464" s="1095"/>
      <c r="K464" s="1095"/>
      <c r="L464" s="1095"/>
      <c r="M464" s="1095"/>
      <c r="N464" s="1095"/>
      <c r="O464" s="1095"/>
      <c r="P464" s="1095"/>
      <c r="Q464" s="1095"/>
      <c r="R464" s="1095"/>
      <c r="S464" s="1096">
        <v>1.75</v>
      </c>
      <c r="T464" s="1096"/>
      <c r="U464" s="1096"/>
      <c r="V464" s="1096"/>
    </row>
    <row r="465" spans="2:22" ht="17.45" customHeight="1">
      <c r="B465" s="1094"/>
      <c r="C465" s="1094"/>
      <c r="D465" s="1094"/>
      <c r="E465" s="1094"/>
      <c r="F465" s="1094"/>
      <c r="G465" s="1094"/>
      <c r="H465" s="1095" t="s">
        <v>647</v>
      </c>
      <c r="I465" s="1095"/>
      <c r="J465" s="1095"/>
      <c r="K465" s="1095"/>
      <c r="L465" s="1095"/>
      <c r="M465" s="1097">
        <v>20.7</v>
      </c>
      <c r="N465" s="1097"/>
      <c r="O465" s="1097"/>
      <c r="P465" s="1095" t="s">
        <v>648</v>
      </c>
      <c r="Q465" s="1095"/>
      <c r="R465" s="1095"/>
      <c r="S465" s="1096">
        <v>0.36</v>
      </c>
      <c r="T465" s="1096"/>
      <c r="U465" s="1096"/>
      <c r="V465" s="1096"/>
    </row>
    <row r="466" spans="2:22" ht="17.45" customHeight="1">
      <c r="B466" s="1094"/>
      <c r="C466" s="1094"/>
      <c r="D466" s="1094"/>
      <c r="E466" s="1094"/>
      <c r="F466" s="1094"/>
      <c r="G466" s="1094"/>
      <c r="H466" s="1094"/>
      <c r="I466" s="1095" t="s">
        <v>649</v>
      </c>
      <c r="J466" s="1095"/>
      <c r="K466" s="1095"/>
      <c r="L466" s="1095"/>
      <c r="M466" s="1095"/>
      <c r="N466" s="1095"/>
      <c r="O466" s="1095"/>
      <c r="P466" s="1095"/>
      <c r="Q466" s="1095"/>
      <c r="R466" s="1095"/>
      <c r="S466" s="1096">
        <v>2.11</v>
      </c>
      <c r="T466" s="1096"/>
      <c r="U466" s="1096"/>
      <c r="V466" s="1096"/>
    </row>
    <row r="467" spans="2:22" ht="144.94999999999999" customHeight="1">
      <c r="B467" s="475"/>
      <c r="V467" s="478"/>
    </row>
    <row r="468" spans="2:22" ht="144.94999999999999" customHeight="1">
      <c r="B468" s="475"/>
      <c r="V468" s="478"/>
    </row>
    <row r="469" spans="2:22" ht="144.94999999999999" customHeight="1">
      <c r="B469" s="475"/>
      <c r="V469" s="478"/>
    </row>
    <row r="470" spans="2:22" ht="17.45" customHeight="1">
      <c r="B470" s="471"/>
      <c r="C470" s="472"/>
      <c r="D470" s="479"/>
      <c r="E470" s="479"/>
      <c r="F470" s="479"/>
      <c r="G470" s="479"/>
      <c r="H470" s="479"/>
      <c r="I470" s="479"/>
      <c r="J470" s="479"/>
      <c r="K470" s="472"/>
      <c r="L470" s="472"/>
      <c r="M470" s="472"/>
      <c r="N470" s="472"/>
      <c r="O470" s="472"/>
      <c r="P470" s="472"/>
      <c r="Q470" s="472"/>
      <c r="R470" s="472"/>
      <c r="S470" s="472"/>
      <c r="T470" s="472"/>
      <c r="U470" s="472"/>
      <c r="V470" s="474"/>
    </row>
    <row r="471" spans="2:22" s="508" customFormat="1" ht="17.45" customHeight="1">
      <c r="B471" s="530"/>
      <c r="C471" s="999" t="s">
        <v>617</v>
      </c>
      <c r="D471" s="999"/>
      <c r="E471" s="999"/>
      <c r="F471" s="505"/>
      <c r="G471" s="1000" t="s">
        <v>821</v>
      </c>
      <c r="H471" s="1000"/>
      <c r="I471" s="1000"/>
      <c r="J471" s="1000"/>
      <c r="K471" s="1000"/>
      <c r="L471" s="1000"/>
      <c r="M471" s="506"/>
      <c r="N471" s="1000" t="s">
        <v>618</v>
      </c>
      <c r="O471" s="1000"/>
      <c r="P471" s="1000"/>
      <c r="Q471" s="1000"/>
      <c r="R471" s="1000"/>
      <c r="S471" s="1000"/>
      <c r="T471" s="1000"/>
      <c r="U471" s="1000"/>
      <c r="V471" s="507"/>
    </row>
    <row r="472" spans="2:22" s="508" customFormat="1" ht="17.45" customHeight="1">
      <c r="B472" s="509"/>
      <c r="C472" s="999" t="s">
        <v>619</v>
      </c>
      <c r="D472" s="999"/>
      <c r="E472" s="1030" t="s">
        <v>804</v>
      </c>
      <c r="F472" s="1030"/>
      <c r="G472" s="1030"/>
      <c r="H472" s="1030"/>
      <c r="I472" s="1030"/>
      <c r="J472" s="1030"/>
      <c r="K472" s="1005" t="s">
        <v>620</v>
      </c>
      <c r="L472" s="1005"/>
      <c r="M472" s="510"/>
      <c r="N472" s="1006" t="s">
        <v>808</v>
      </c>
      <c r="O472" s="1006"/>
      <c r="P472" s="1006"/>
      <c r="Q472" s="510"/>
      <c r="R472" s="510"/>
      <c r="S472" s="510"/>
      <c r="T472" s="510"/>
      <c r="U472" s="510"/>
      <c r="V472" s="511"/>
    </row>
    <row r="473" spans="2:22" s="508" customFormat="1" ht="17.45" customHeight="1">
      <c r="B473" s="512"/>
      <c r="C473" s="999"/>
      <c r="D473" s="999"/>
      <c r="E473" s="1030"/>
      <c r="F473" s="1030"/>
      <c r="G473" s="1030"/>
      <c r="H473" s="1030"/>
      <c r="I473" s="1030"/>
      <c r="J473" s="1030"/>
      <c r="K473" s="1007" t="s">
        <v>622</v>
      </c>
      <c r="L473" s="1007"/>
      <c r="M473" s="513"/>
      <c r="N473" s="1008">
        <v>1</v>
      </c>
      <c r="O473" s="1008"/>
      <c r="P473" s="1008"/>
      <c r="Q473" s="513"/>
      <c r="R473" s="1007" t="s">
        <v>623</v>
      </c>
      <c r="S473" s="1007"/>
      <c r="T473" s="513"/>
      <c r="U473" s="514" t="s">
        <v>630</v>
      </c>
      <c r="V473" s="515"/>
    </row>
    <row r="474" spans="2:22" s="508" customFormat="1" ht="17.45" customHeight="1">
      <c r="B474" s="997" t="s">
        <v>625</v>
      </c>
      <c r="C474" s="997"/>
      <c r="D474" s="998" t="s">
        <v>259</v>
      </c>
      <c r="E474" s="998"/>
      <c r="F474" s="998"/>
      <c r="G474" s="998"/>
      <c r="H474" s="998"/>
      <c r="I474" s="998"/>
      <c r="J474" s="997" t="s">
        <v>266</v>
      </c>
      <c r="K474" s="997"/>
      <c r="L474" s="997" t="s">
        <v>270</v>
      </c>
      <c r="M474" s="997"/>
      <c r="N474" s="997"/>
      <c r="O474" s="998" t="s">
        <v>626</v>
      </c>
      <c r="P474" s="998"/>
      <c r="Q474" s="998"/>
      <c r="R474" s="998"/>
      <c r="S474" s="998" t="s">
        <v>627</v>
      </c>
      <c r="T474" s="998"/>
      <c r="U474" s="998"/>
      <c r="V474" s="998"/>
    </row>
    <row r="475" spans="2:22" s="508" customFormat="1" ht="17.45" customHeight="1">
      <c r="B475" s="516"/>
      <c r="C475" s="517" t="s">
        <v>760</v>
      </c>
      <c r="D475" s="1060" t="s">
        <v>761</v>
      </c>
      <c r="E475" s="1060"/>
      <c r="F475" s="1060"/>
      <c r="G475" s="1060"/>
      <c r="H475" s="1060"/>
      <c r="I475" s="1060"/>
      <c r="J475" s="1061" t="s">
        <v>698</v>
      </c>
      <c r="K475" s="1061"/>
      <c r="L475" s="1062">
        <v>3.0000000000000001E-3</v>
      </c>
      <c r="M475" s="1062"/>
      <c r="N475" s="1062"/>
      <c r="O475" s="1063">
        <v>180.88</v>
      </c>
      <c r="P475" s="1063"/>
      <c r="Q475" s="1063"/>
      <c r="R475" s="1063"/>
      <c r="S475" s="1064">
        <f>L475*O475</f>
        <v>0.54264000000000001</v>
      </c>
      <c r="T475" s="1064"/>
      <c r="U475" s="1064"/>
      <c r="V475" s="1064"/>
    </row>
    <row r="476" spans="2:22" s="508" customFormat="1" ht="17.45" customHeight="1">
      <c r="B476" s="518"/>
      <c r="C476" s="519">
        <v>5940</v>
      </c>
      <c r="D476" s="1065" t="s">
        <v>807</v>
      </c>
      <c r="E476" s="1065"/>
      <c r="F476" s="1065"/>
      <c r="G476" s="1065"/>
      <c r="H476" s="1065"/>
      <c r="I476" s="1065"/>
      <c r="J476" s="1066" t="s">
        <v>698</v>
      </c>
      <c r="K476" s="1066"/>
      <c r="L476" s="1067">
        <v>8.0000000000000002E-3</v>
      </c>
      <c r="M476" s="1067"/>
      <c r="N476" s="1067"/>
      <c r="O476" s="1068">
        <v>153.30000000000001</v>
      </c>
      <c r="P476" s="1068"/>
      <c r="Q476" s="1068"/>
      <c r="R476" s="1068"/>
      <c r="S476" s="996">
        <f t="shared" ref="S476:S477" si="17">L476*O476</f>
        <v>1.2264000000000002</v>
      </c>
      <c r="T476" s="963"/>
      <c r="U476" s="963"/>
      <c r="V476" s="964"/>
    </row>
    <row r="477" spans="2:22" s="508" customFormat="1" ht="17.45" customHeight="1">
      <c r="B477" s="520"/>
      <c r="C477" s="521" t="s">
        <v>634</v>
      </c>
      <c r="D477" s="1069" t="s">
        <v>635</v>
      </c>
      <c r="E477" s="1069"/>
      <c r="F477" s="1069"/>
      <c r="G477" s="1069"/>
      <c r="H477" s="1069"/>
      <c r="I477" s="1069"/>
      <c r="J477" s="1070" t="s">
        <v>633</v>
      </c>
      <c r="K477" s="1070"/>
      <c r="L477" s="1071">
        <v>8.0000000000000002E-3</v>
      </c>
      <c r="M477" s="1071"/>
      <c r="N477" s="1071"/>
      <c r="O477" s="1072">
        <v>16.829999999999998</v>
      </c>
      <c r="P477" s="1072"/>
      <c r="Q477" s="1072"/>
      <c r="R477" s="1072"/>
      <c r="S477" s="1024">
        <f t="shared" si="17"/>
        <v>0.13463999999999998</v>
      </c>
      <c r="T477" s="1025"/>
      <c r="U477" s="1025"/>
      <c r="V477" s="1026"/>
    </row>
    <row r="478" spans="2:22" s="508" customFormat="1" ht="17.45" customHeight="1">
      <c r="B478" s="965"/>
      <c r="C478" s="965"/>
      <c r="D478" s="965"/>
      <c r="E478" s="965"/>
      <c r="F478" s="965"/>
      <c r="G478" s="965"/>
      <c r="H478" s="965"/>
      <c r="I478" s="966" t="s">
        <v>645</v>
      </c>
      <c r="J478" s="966"/>
      <c r="K478" s="966"/>
      <c r="L478" s="966"/>
      <c r="M478" s="966"/>
      <c r="N478" s="966"/>
      <c r="O478" s="966"/>
      <c r="P478" s="966"/>
      <c r="Q478" s="966"/>
      <c r="R478" s="966"/>
      <c r="S478" s="1029">
        <f>SUM(S475:V477)</f>
        <v>1.90368</v>
      </c>
      <c r="T478" s="1029"/>
      <c r="U478" s="1029"/>
      <c r="V478" s="1029"/>
    </row>
    <row r="479" spans="2:22" s="508" customFormat="1" ht="17.45" customHeight="1">
      <c r="B479" s="967"/>
      <c r="C479" s="967"/>
      <c r="D479" s="967"/>
      <c r="E479" s="967"/>
      <c r="F479" s="967"/>
      <c r="G479" s="967"/>
      <c r="H479" s="967"/>
      <c r="I479" s="967"/>
      <c r="J479" s="967"/>
      <c r="K479" s="967"/>
      <c r="L479" s="967"/>
      <c r="M479" s="967"/>
      <c r="N479" s="967"/>
      <c r="O479" s="967"/>
      <c r="P479" s="967"/>
      <c r="Q479" s="967"/>
      <c r="R479" s="967"/>
      <c r="S479" s="967"/>
      <c r="T479" s="967"/>
      <c r="U479" s="967"/>
      <c r="V479" s="967"/>
    </row>
    <row r="480" spans="2:22" s="508" customFormat="1" ht="17.45" customHeight="1">
      <c r="B480" s="968"/>
      <c r="C480" s="968"/>
      <c r="D480" s="968"/>
      <c r="E480" s="968"/>
      <c r="F480" s="968"/>
      <c r="G480" s="968"/>
      <c r="H480" s="968"/>
      <c r="I480" s="969" t="s">
        <v>646</v>
      </c>
      <c r="J480" s="969"/>
      <c r="K480" s="969"/>
      <c r="L480" s="969"/>
      <c r="M480" s="969"/>
      <c r="N480" s="969"/>
      <c r="O480" s="969"/>
      <c r="P480" s="969"/>
      <c r="Q480" s="969"/>
      <c r="R480" s="969"/>
      <c r="S480" s="963">
        <f>S478</f>
        <v>1.90368</v>
      </c>
      <c r="T480" s="963"/>
      <c r="U480" s="963"/>
      <c r="V480" s="964"/>
    </row>
    <row r="481" spans="2:22" s="508" customFormat="1" ht="17.45" customHeight="1">
      <c r="B481" s="968"/>
      <c r="C481" s="968"/>
      <c r="D481" s="968"/>
      <c r="E481" s="968"/>
      <c r="F481" s="968"/>
      <c r="G481" s="968"/>
      <c r="H481" s="969" t="s">
        <v>647</v>
      </c>
      <c r="I481" s="969"/>
      <c r="J481" s="969"/>
      <c r="K481" s="969"/>
      <c r="L481" s="969"/>
      <c r="M481" s="970">
        <v>20.7</v>
      </c>
      <c r="N481" s="970"/>
      <c r="O481" s="970"/>
      <c r="P481" s="969" t="s">
        <v>648</v>
      </c>
      <c r="Q481" s="969"/>
      <c r="R481" s="969"/>
      <c r="S481" s="963">
        <f>S480*M481%</f>
        <v>0.39406175999999998</v>
      </c>
      <c r="T481" s="963"/>
      <c r="U481" s="963"/>
      <c r="V481" s="964"/>
    </row>
    <row r="482" spans="2:22" s="508" customFormat="1" ht="17.45" customHeight="1">
      <c r="B482" s="968"/>
      <c r="C482" s="968"/>
      <c r="D482" s="968"/>
      <c r="E482" s="968"/>
      <c r="F482" s="968"/>
      <c r="G482" s="968"/>
      <c r="H482" s="968"/>
      <c r="I482" s="969" t="s">
        <v>649</v>
      </c>
      <c r="J482" s="969"/>
      <c r="K482" s="969"/>
      <c r="L482" s="969"/>
      <c r="M482" s="969"/>
      <c r="N482" s="969"/>
      <c r="O482" s="969"/>
      <c r="P482" s="969"/>
      <c r="Q482" s="969"/>
      <c r="R482" s="969"/>
      <c r="S482" s="963">
        <f>S480+S481</f>
        <v>2.2977417600000001</v>
      </c>
      <c r="T482" s="963"/>
      <c r="U482" s="963"/>
      <c r="V482" s="964"/>
    </row>
    <row r="483" spans="2:22" s="508" customFormat="1" ht="144.94999999999999" customHeight="1">
      <c r="B483" s="522"/>
      <c r="C483" s="523"/>
      <c r="D483" s="524"/>
      <c r="E483" s="524"/>
      <c r="F483" s="524"/>
      <c r="G483" s="524"/>
      <c r="H483" s="524"/>
      <c r="I483" s="524"/>
      <c r="J483" s="524"/>
      <c r="K483" s="523"/>
      <c r="L483" s="523"/>
      <c r="M483" s="523"/>
      <c r="N483" s="523"/>
      <c r="O483" s="523"/>
      <c r="P483" s="523"/>
      <c r="Q483" s="523"/>
      <c r="R483" s="523"/>
      <c r="S483" s="523"/>
      <c r="T483" s="523"/>
      <c r="U483" s="523"/>
      <c r="V483" s="525"/>
    </row>
    <row r="484" spans="2:22" s="508" customFormat="1" ht="144.94999999999999" customHeight="1">
      <c r="B484" s="522"/>
      <c r="C484" s="523"/>
      <c r="D484" s="524"/>
      <c r="E484" s="524"/>
      <c r="F484" s="524"/>
      <c r="G484" s="524"/>
      <c r="H484" s="524"/>
      <c r="I484" s="524"/>
      <c r="J484" s="524"/>
      <c r="K484" s="523"/>
      <c r="L484" s="523"/>
      <c r="M484" s="523"/>
      <c r="N484" s="523"/>
      <c r="O484" s="523"/>
      <c r="P484" s="523"/>
      <c r="Q484" s="523"/>
      <c r="R484" s="523"/>
      <c r="S484" s="523"/>
      <c r="T484" s="523"/>
      <c r="U484" s="523"/>
      <c r="V484" s="525"/>
    </row>
    <row r="485" spans="2:22" s="508" customFormat="1" ht="144.94999999999999" customHeight="1">
      <c r="B485" s="522"/>
      <c r="C485" s="523"/>
      <c r="D485" s="524"/>
      <c r="E485" s="524"/>
      <c r="F485" s="524"/>
      <c r="G485" s="524"/>
      <c r="H485" s="524"/>
      <c r="I485" s="524"/>
      <c r="J485" s="524"/>
      <c r="K485" s="523"/>
      <c r="L485" s="523"/>
      <c r="M485" s="523"/>
      <c r="N485" s="523"/>
      <c r="O485" s="523"/>
      <c r="P485" s="523"/>
      <c r="Q485" s="523"/>
      <c r="R485" s="523"/>
      <c r="S485" s="523"/>
      <c r="T485" s="523"/>
      <c r="U485" s="523"/>
      <c r="V485" s="525"/>
    </row>
    <row r="486" spans="2:22" s="508" customFormat="1" ht="17.45" customHeight="1">
      <c r="B486" s="512"/>
      <c r="C486" s="513"/>
      <c r="D486" s="526"/>
      <c r="E486" s="526"/>
      <c r="F486" s="526"/>
      <c r="G486" s="526"/>
      <c r="H486" s="526"/>
      <c r="I486" s="526"/>
      <c r="J486" s="526"/>
      <c r="K486" s="513"/>
      <c r="L486" s="513"/>
      <c r="M486" s="513"/>
      <c r="N486" s="513"/>
      <c r="O486" s="513"/>
      <c r="P486" s="513"/>
      <c r="Q486" s="513"/>
      <c r="R486" s="513"/>
      <c r="S486" s="513"/>
      <c r="T486" s="513"/>
      <c r="U486" s="513"/>
      <c r="V486" s="515"/>
    </row>
    <row r="487" spans="2:22" s="508" customFormat="1" ht="17.45" customHeight="1">
      <c r="B487" s="530"/>
      <c r="C487" s="999" t="s">
        <v>617</v>
      </c>
      <c r="D487" s="999"/>
      <c r="E487" s="999"/>
      <c r="F487" s="505"/>
      <c r="G487" s="1000" t="s">
        <v>821</v>
      </c>
      <c r="H487" s="1000"/>
      <c r="I487" s="1000"/>
      <c r="J487" s="1000"/>
      <c r="K487" s="1000"/>
      <c r="L487" s="1000"/>
      <c r="M487" s="506"/>
      <c r="N487" s="1000" t="s">
        <v>618</v>
      </c>
      <c r="O487" s="1000"/>
      <c r="P487" s="1000"/>
      <c r="Q487" s="1000"/>
      <c r="R487" s="1000"/>
      <c r="S487" s="1000"/>
      <c r="T487" s="1000"/>
      <c r="U487" s="1000"/>
      <c r="V487" s="507"/>
    </row>
    <row r="488" spans="2:22" s="508" customFormat="1" ht="17.45" customHeight="1">
      <c r="B488" s="509"/>
      <c r="C488" s="999" t="s">
        <v>619</v>
      </c>
      <c r="D488" s="999"/>
      <c r="E488" s="1030" t="s">
        <v>707</v>
      </c>
      <c r="F488" s="1030"/>
      <c r="G488" s="1030"/>
      <c r="H488" s="1030"/>
      <c r="I488" s="1030"/>
      <c r="J488" s="1030"/>
      <c r="K488" s="1005" t="s">
        <v>620</v>
      </c>
      <c r="L488" s="1005"/>
      <c r="M488" s="510"/>
      <c r="N488" s="1006" t="s">
        <v>809</v>
      </c>
      <c r="O488" s="1006"/>
      <c r="P488" s="1006"/>
      <c r="Q488" s="510"/>
      <c r="R488" s="510"/>
      <c r="S488" s="510"/>
      <c r="T488" s="510"/>
      <c r="U488" s="510"/>
      <c r="V488" s="511"/>
    </row>
    <row r="489" spans="2:22" s="508" customFormat="1" ht="17.45" customHeight="1">
      <c r="B489" s="512"/>
      <c r="C489" s="999"/>
      <c r="D489" s="999"/>
      <c r="E489" s="1030"/>
      <c r="F489" s="1030"/>
      <c r="G489" s="1030"/>
      <c r="H489" s="1030"/>
      <c r="I489" s="1030"/>
      <c r="J489" s="1030"/>
      <c r="K489" s="1007" t="s">
        <v>622</v>
      </c>
      <c r="L489" s="1007"/>
      <c r="M489" s="513"/>
      <c r="N489" s="1008">
        <v>1</v>
      </c>
      <c r="O489" s="1008"/>
      <c r="P489" s="1008"/>
      <c r="Q489" s="513"/>
      <c r="R489" s="1007" t="s">
        <v>623</v>
      </c>
      <c r="S489" s="1007"/>
      <c r="T489" s="513"/>
      <c r="U489" s="514" t="s">
        <v>630</v>
      </c>
      <c r="V489" s="515"/>
    </row>
    <row r="490" spans="2:22" s="508" customFormat="1" ht="17.45" customHeight="1">
      <c r="B490" s="997" t="s">
        <v>625</v>
      </c>
      <c r="C490" s="997"/>
      <c r="D490" s="998" t="s">
        <v>259</v>
      </c>
      <c r="E490" s="998"/>
      <c r="F490" s="998"/>
      <c r="G490" s="998"/>
      <c r="H490" s="998"/>
      <c r="I490" s="998"/>
      <c r="J490" s="997" t="s">
        <v>266</v>
      </c>
      <c r="K490" s="997"/>
      <c r="L490" s="997" t="s">
        <v>270</v>
      </c>
      <c r="M490" s="997"/>
      <c r="N490" s="997"/>
      <c r="O490" s="998" t="s">
        <v>626</v>
      </c>
      <c r="P490" s="998"/>
      <c r="Q490" s="998"/>
      <c r="R490" s="998"/>
      <c r="S490" s="998" t="s">
        <v>627</v>
      </c>
      <c r="T490" s="998"/>
      <c r="U490" s="998"/>
      <c r="V490" s="998"/>
    </row>
    <row r="491" spans="2:22" s="508" customFormat="1" ht="17.45" customHeight="1">
      <c r="B491" s="516"/>
      <c r="C491" s="517" t="s">
        <v>701</v>
      </c>
      <c r="D491" s="1060" t="s">
        <v>702</v>
      </c>
      <c r="E491" s="1060"/>
      <c r="F491" s="1060"/>
      <c r="G491" s="1060"/>
      <c r="H491" s="1060"/>
      <c r="I491" s="1060"/>
      <c r="J491" s="1061" t="s">
        <v>698</v>
      </c>
      <c r="K491" s="1061"/>
      <c r="L491" s="1062">
        <v>2.9867000000000001E-3</v>
      </c>
      <c r="M491" s="1062"/>
      <c r="N491" s="1062"/>
      <c r="O491" s="1063">
        <v>220.74</v>
      </c>
      <c r="P491" s="1063"/>
      <c r="Q491" s="1063"/>
      <c r="R491" s="1063"/>
      <c r="S491" s="1064">
        <f>L491*O491</f>
        <v>0.65928415800000006</v>
      </c>
      <c r="T491" s="1064"/>
      <c r="U491" s="1064"/>
      <c r="V491" s="1064"/>
    </row>
    <row r="492" spans="2:22" s="508" customFormat="1" ht="17.45" customHeight="1">
      <c r="B492" s="520"/>
      <c r="C492" s="521" t="s">
        <v>634</v>
      </c>
      <c r="D492" s="1069" t="s">
        <v>635</v>
      </c>
      <c r="E492" s="1069"/>
      <c r="F492" s="1069"/>
      <c r="G492" s="1069"/>
      <c r="H492" s="1069"/>
      <c r="I492" s="1069"/>
      <c r="J492" s="1070" t="s">
        <v>633</v>
      </c>
      <c r="K492" s="1070"/>
      <c r="L492" s="1071">
        <v>2.5499999999999998E-2</v>
      </c>
      <c r="M492" s="1071"/>
      <c r="N492" s="1071"/>
      <c r="O492" s="1072">
        <v>16.829999999999998</v>
      </c>
      <c r="P492" s="1072"/>
      <c r="Q492" s="1072"/>
      <c r="R492" s="1072"/>
      <c r="S492" s="1106">
        <f>L492*O492</f>
        <v>0.42916499999999991</v>
      </c>
      <c r="T492" s="1106"/>
      <c r="U492" s="1106"/>
      <c r="V492" s="1106"/>
    </row>
    <row r="493" spans="2:22" s="508" customFormat="1" ht="17.45" customHeight="1">
      <c r="B493" s="965"/>
      <c r="C493" s="965"/>
      <c r="D493" s="965"/>
      <c r="E493" s="965"/>
      <c r="F493" s="965"/>
      <c r="G493" s="965"/>
      <c r="H493" s="965"/>
      <c r="I493" s="966" t="s">
        <v>645</v>
      </c>
      <c r="J493" s="966"/>
      <c r="K493" s="966"/>
      <c r="L493" s="966"/>
      <c r="M493" s="966"/>
      <c r="N493" s="966"/>
      <c r="O493" s="966"/>
      <c r="P493" s="966"/>
      <c r="Q493" s="966"/>
      <c r="R493" s="966"/>
      <c r="S493" s="1029">
        <f>SUM(S491:V492)</f>
        <v>1.088449158</v>
      </c>
      <c r="T493" s="1029"/>
      <c r="U493" s="1029"/>
      <c r="V493" s="1029"/>
    </row>
    <row r="494" spans="2:22" s="508" customFormat="1" ht="17.45" customHeight="1">
      <c r="B494" s="967"/>
      <c r="C494" s="967"/>
      <c r="D494" s="967"/>
      <c r="E494" s="967"/>
      <c r="F494" s="967"/>
      <c r="G494" s="967"/>
      <c r="H494" s="967"/>
      <c r="I494" s="967"/>
      <c r="J494" s="967"/>
      <c r="K494" s="967"/>
      <c r="L494" s="967"/>
      <c r="M494" s="967"/>
      <c r="N494" s="967"/>
      <c r="O494" s="967"/>
      <c r="P494" s="967"/>
      <c r="Q494" s="967"/>
      <c r="R494" s="967"/>
      <c r="S494" s="967"/>
      <c r="T494" s="967"/>
      <c r="U494" s="967"/>
      <c r="V494" s="967"/>
    </row>
    <row r="495" spans="2:22" s="508" customFormat="1" ht="17.45" customHeight="1">
      <c r="B495" s="968"/>
      <c r="C495" s="968"/>
      <c r="D495" s="968"/>
      <c r="E495" s="968"/>
      <c r="F495" s="968"/>
      <c r="G495" s="968"/>
      <c r="H495" s="968"/>
      <c r="I495" s="969" t="s">
        <v>646</v>
      </c>
      <c r="J495" s="969"/>
      <c r="K495" s="969"/>
      <c r="L495" s="969"/>
      <c r="M495" s="969"/>
      <c r="N495" s="969"/>
      <c r="O495" s="969"/>
      <c r="P495" s="969"/>
      <c r="Q495" s="969"/>
      <c r="R495" s="969"/>
      <c r="S495" s="963">
        <f>S493</f>
        <v>1.088449158</v>
      </c>
      <c r="T495" s="963"/>
      <c r="U495" s="963"/>
      <c r="V495" s="964"/>
    </row>
    <row r="496" spans="2:22" s="508" customFormat="1" ht="17.45" customHeight="1">
      <c r="B496" s="968"/>
      <c r="C496" s="968"/>
      <c r="D496" s="968"/>
      <c r="E496" s="968"/>
      <c r="F496" s="968"/>
      <c r="G496" s="968"/>
      <c r="H496" s="969" t="s">
        <v>647</v>
      </c>
      <c r="I496" s="969"/>
      <c r="J496" s="969"/>
      <c r="K496" s="969"/>
      <c r="L496" s="969"/>
      <c r="M496" s="970">
        <v>20.7</v>
      </c>
      <c r="N496" s="970"/>
      <c r="O496" s="970"/>
      <c r="P496" s="969" t="s">
        <v>648</v>
      </c>
      <c r="Q496" s="969"/>
      <c r="R496" s="969"/>
      <c r="S496" s="963">
        <f>S495*M496%</f>
        <v>0.22530897570599998</v>
      </c>
      <c r="T496" s="963"/>
      <c r="U496" s="963"/>
      <c r="V496" s="964"/>
    </row>
    <row r="497" spans="2:22" s="508" customFormat="1" ht="17.45" customHeight="1">
      <c r="B497" s="968"/>
      <c r="C497" s="968"/>
      <c r="D497" s="968"/>
      <c r="E497" s="968"/>
      <c r="F497" s="968"/>
      <c r="G497" s="968"/>
      <c r="H497" s="968"/>
      <c r="I497" s="969" t="s">
        <v>649</v>
      </c>
      <c r="J497" s="969"/>
      <c r="K497" s="969"/>
      <c r="L497" s="969"/>
      <c r="M497" s="969"/>
      <c r="N497" s="969"/>
      <c r="O497" s="969"/>
      <c r="P497" s="969"/>
      <c r="Q497" s="969"/>
      <c r="R497" s="969"/>
      <c r="S497" s="963">
        <f>S495+S496</f>
        <v>1.313758133706</v>
      </c>
      <c r="T497" s="963"/>
      <c r="U497" s="963"/>
      <c r="V497" s="964"/>
    </row>
    <row r="498" spans="2:22" s="508" customFormat="1" ht="144.94999999999999" customHeight="1">
      <c r="B498" s="522"/>
      <c r="C498" s="523"/>
      <c r="D498" s="524"/>
      <c r="E498" s="524"/>
      <c r="F498" s="524"/>
      <c r="G498" s="524"/>
      <c r="H498" s="524"/>
      <c r="I498" s="524"/>
      <c r="J498" s="524"/>
      <c r="K498" s="523"/>
      <c r="L498" s="523"/>
      <c r="M498" s="523"/>
      <c r="N498" s="523"/>
      <c r="O498" s="523"/>
      <c r="P498" s="523"/>
      <c r="Q498" s="523"/>
      <c r="R498" s="523"/>
      <c r="S498" s="523"/>
      <c r="T498" s="523"/>
      <c r="U498" s="523"/>
      <c r="V498" s="525"/>
    </row>
    <row r="499" spans="2:22" s="508" customFormat="1" ht="144.94999999999999" customHeight="1">
      <c r="B499" s="522"/>
      <c r="C499" s="523"/>
      <c r="D499" s="524"/>
      <c r="E499" s="524"/>
      <c r="F499" s="524"/>
      <c r="G499" s="524"/>
      <c r="H499" s="524"/>
      <c r="I499" s="524"/>
      <c r="J499" s="524"/>
      <c r="K499" s="523"/>
      <c r="L499" s="523"/>
      <c r="M499" s="523"/>
      <c r="N499" s="523"/>
      <c r="O499" s="523"/>
      <c r="P499" s="523"/>
      <c r="Q499" s="523"/>
      <c r="R499" s="523"/>
      <c r="S499" s="523"/>
      <c r="T499" s="523"/>
      <c r="U499" s="523"/>
      <c r="V499" s="525"/>
    </row>
    <row r="500" spans="2:22" s="508" customFormat="1" ht="144.94999999999999" customHeight="1">
      <c r="B500" s="522"/>
      <c r="C500" s="523"/>
      <c r="D500" s="524"/>
      <c r="E500" s="524"/>
      <c r="F500" s="524"/>
      <c r="G500" s="524"/>
      <c r="H500" s="524"/>
      <c r="I500" s="524"/>
      <c r="J500" s="524"/>
      <c r="K500" s="523"/>
      <c r="L500" s="523"/>
      <c r="M500" s="523"/>
      <c r="N500" s="523"/>
      <c r="O500" s="523"/>
      <c r="P500" s="523"/>
      <c r="Q500" s="523"/>
      <c r="R500" s="523"/>
      <c r="S500" s="523"/>
      <c r="T500" s="523"/>
      <c r="U500" s="523"/>
      <c r="V500" s="525"/>
    </row>
    <row r="501" spans="2:22" s="508" customFormat="1" ht="17.45" customHeight="1">
      <c r="B501" s="522"/>
      <c r="C501" s="523"/>
      <c r="D501" s="524"/>
      <c r="E501" s="524"/>
      <c r="F501" s="524"/>
      <c r="G501" s="524"/>
      <c r="H501" s="524"/>
      <c r="I501" s="524"/>
      <c r="J501" s="524"/>
      <c r="K501" s="523"/>
      <c r="L501" s="523"/>
      <c r="M501" s="523"/>
      <c r="N501" s="523"/>
      <c r="O501" s="523"/>
      <c r="P501" s="523"/>
      <c r="Q501" s="523"/>
      <c r="R501" s="523"/>
      <c r="S501" s="523"/>
      <c r="T501" s="523"/>
      <c r="U501" s="523"/>
      <c r="V501" s="525"/>
    </row>
    <row r="502" spans="2:22" s="508" customFormat="1" ht="17.45" customHeight="1">
      <c r="B502" s="512"/>
      <c r="C502" s="513"/>
      <c r="D502" s="526"/>
      <c r="E502" s="526"/>
      <c r="F502" s="526"/>
      <c r="G502" s="526"/>
      <c r="H502" s="526"/>
      <c r="I502" s="526"/>
      <c r="J502" s="526"/>
      <c r="K502" s="513"/>
      <c r="L502" s="513"/>
      <c r="M502" s="513"/>
      <c r="N502" s="513"/>
      <c r="O502" s="513"/>
      <c r="P502" s="513"/>
      <c r="Q502" s="513"/>
      <c r="R502" s="513"/>
      <c r="S502" s="513"/>
      <c r="T502" s="513"/>
      <c r="U502" s="513"/>
      <c r="V502" s="515"/>
    </row>
    <row r="503" spans="2:22" ht="144.94999999999999" customHeight="1">
      <c r="B503" s="475"/>
      <c r="V503" s="478"/>
    </row>
    <row r="504" spans="2:22" ht="17.45" customHeight="1">
      <c r="B504" s="471"/>
      <c r="C504" s="472"/>
      <c r="D504" s="479"/>
      <c r="E504" s="479"/>
      <c r="F504" s="479"/>
      <c r="G504" s="479"/>
      <c r="H504" s="479"/>
      <c r="I504" s="479"/>
      <c r="J504" s="479"/>
      <c r="K504" s="472"/>
      <c r="L504" s="472"/>
      <c r="M504" s="472"/>
      <c r="N504" s="472"/>
      <c r="O504" s="472"/>
      <c r="P504" s="472"/>
      <c r="Q504" s="472"/>
      <c r="R504" s="472"/>
      <c r="S504" s="472"/>
      <c r="T504" s="472"/>
      <c r="U504" s="472"/>
      <c r="V504" s="474"/>
    </row>
    <row r="505" spans="2:22" ht="17.45" customHeight="1">
      <c r="B505" s="503"/>
      <c r="C505" s="1075" t="s">
        <v>617</v>
      </c>
      <c r="D505" s="1075"/>
      <c r="E505" s="1075"/>
      <c r="F505" s="466"/>
      <c r="G505" s="1104" t="s">
        <v>824</v>
      </c>
      <c r="H505" s="1104"/>
      <c r="I505" s="1104"/>
      <c r="J505" s="1104"/>
      <c r="K505" s="1104"/>
      <c r="L505" s="1104"/>
      <c r="M505" s="504"/>
      <c r="N505" s="1104" t="s">
        <v>618</v>
      </c>
      <c r="O505" s="1104"/>
      <c r="P505" s="1104"/>
      <c r="Q505" s="1104"/>
      <c r="R505" s="1104"/>
      <c r="S505" s="1104"/>
      <c r="T505" s="1104"/>
      <c r="U505" s="1104"/>
      <c r="V505" s="467"/>
    </row>
    <row r="506" spans="2:22" ht="17.45" customHeight="1">
      <c r="B506" s="468"/>
      <c r="C506" s="1075" t="s">
        <v>619</v>
      </c>
      <c r="D506" s="1075"/>
      <c r="E506" s="1089" t="s">
        <v>815</v>
      </c>
      <c r="F506" s="1089"/>
      <c r="G506" s="1089"/>
      <c r="H506" s="1089"/>
      <c r="I506" s="1089"/>
      <c r="J506" s="1089"/>
      <c r="K506" s="1090" t="s">
        <v>620</v>
      </c>
      <c r="L506" s="1090"/>
      <c r="M506" s="469"/>
      <c r="N506" s="1091" t="s">
        <v>816</v>
      </c>
      <c r="O506" s="1091"/>
      <c r="P506" s="1091"/>
      <c r="Q506" s="469"/>
      <c r="R506" s="469"/>
      <c r="S506" s="469"/>
      <c r="T506" s="469"/>
      <c r="U506" s="469"/>
      <c r="V506" s="470"/>
    </row>
    <row r="507" spans="2:22" ht="17.45" customHeight="1">
      <c r="B507" s="471"/>
      <c r="C507" s="1075"/>
      <c r="D507" s="1075"/>
      <c r="E507" s="1089"/>
      <c r="F507" s="1089"/>
      <c r="G507" s="1089"/>
      <c r="H507" s="1089"/>
      <c r="I507" s="1089"/>
      <c r="J507" s="1089"/>
      <c r="K507" s="1086" t="s">
        <v>622</v>
      </c>
      <c r="L507" s="1086"/>
      <c r="M507" s="472"/>
      <c r="N507" s="1092">
        <v>1</v>
      </c>
      <c r="O507" s="1092"/>
      <c r="P507" s="1092"/>
      <c r="Q507" s="472"/>
      <c r="R507" s="1086" t="s">
        <v>623</v>
      </c>
      <c r="S507" s="1086"/>
      <c r="T507" s="472"/>
      <c r="U507" s="473" t="s">
        <v>657</v>
      </c>
      <c r="V507" s="474"/>
    </row>
    <row r="508" spans="2:22" ht="17.45" customHeight="1">
      <c r="B508" s="1087" t="s">
        <v>625</v>
      </c>
      <c r="C508" s="1087"/>
      <c r="D508" s="1088" t="s">
        <v>259</v>
      </c>
      <c r="E508" s="1088"/>
      <c r="F508" s="1088"/>
      <c r="G508" s="1088"/>
      <c r="H508" s="1088"/>
      <c r="I508" s="1088"/>
      <c r="J508" s="1087" t="s">
        <v>266</v>
      </c>
      <c r="K508" s="1087"/>
      <c r="L508" s="1087" t="s">
        <v>270</v>
      </c>
      <c r="M508" s="1087"/>
      <c r="N508" s="1087"/>
      <c r="O508" s="1088" t="s">
        <v>626</v>
      </c>
      <c r="P508" s="1088"/>
      <c r="Q508" s="1088"/>
      <c r="R508" s="1088"/>
      <c r="S508" s="1088" t="s">
        <v>627</v>
      </c>
      <c r="T508" s="1088"/>
      <c r="U508" s="1088"/>
      <c r="V508" s="1088"/>
    </row>
    <row r="509" spans="2:22" ht="17.45" customHeight="1">
      <c r="B509" s="468"/>
      <c r="C509" s="500" t="s">
        <v>654</v>
      </c>
      <c r="D509" s="1076" t="s">
        <v>655</v>
      </c>
      <c r="E509" s="1076"/>
      <c r="F509" s="1076"/>
      <c r="G509" s="1076"/>
      <c r="H509" s="1076"/>
      <c r="I509" s="1076"/>
      <c r="J509" s="1078" t="s">
        <v>633</v>
      </c>
      <c r="K509" s="1078"/>
      <c r="L509" s="1078">
        <v>5.92</v>
      </c>
      <c r="M509" s="1078"/>
      <c r="N509" s="1078"/>
      <c r="O509" s="1079">
        <v>16.974900000000002</v>
      </c>
      <c r="P509" s="1079"/>
      <c r="Q509" s="1079"/>
      <c r="R509" s="1079"/>
      <c r="S509" s="1080">
        <f>L509*O509</f>
        <v>100.49140800000001</v>
      </c>
      <c r="T509" s="1080"/>
      <c r="U509" s="1080"/>
      <c r="V509" s="1080"/>
    </row>
    <row r="510" spans="2:22" ht="17.45" customHeight="1">
      <c r="B510" s="475"/>
      <c r="C510" s="501">
        <v>407819</v>
      </c>
      <c r="D510" s="1081" t="s">
        <v>811</v>
      </c>
      <c r="E510" s="1081"/>
      <c r="F510" s="1081"/>
      <c r="G510" s="1081"/>
      <c r="H510" s="1081"/>
      <c r="I510" s="1081"/>
      <c r="J510" s="1082" t="s">
        <v>644</v>
      </c>
      <c r="K510" s="1082"/>
      <c r="L510" s="1083">
        <v>21.06</v>
      </c>
      <c r="M510" s="1083"/>
      <c r="N510" s="1083"/>
      <c r="O510" s="1084">
        <v>13.06</v>
      </c>
      <c r="P510" s="1084"/>
      <c r="Q510" s="1084"/>
      <c r="R510" s="1084"/>
      <c r="S510" s="1107">
        <f t="shared" ref="S510:S514" si="18">L510*O510</f>
        <v>275.04359999999997</v>
      </c>
      <c r="T510" s="1108"/>
      <c r="U510" s="1108"/>
      <c r="V510" s="1096"/>
    </row>
    <row r="511" spans="2:22" ht="17.45" customHeight="1">
      <c r="B511" s="475"/>
      <c r="C511" s="501" t="s">
        <v>812</v>
      </c>
      <c r="D511" s="1081" t="s">
        <v>813</v>
      </c>
      <c r="E511" s="1081"/>
      <c r="F511" s="1081"/>
      <c r="G511" s="1081"/>
      <c r="H511" s="1081"/>
      <c r="I511" s="1081"/>
      <c r="J511" s="1082" t="s">
        <v>703</v>
      </c>
      <c r="K511" s="1082"/>
      <c r="L511" s="1083">
        <v>0.24</v>
      </c>
      <c r="M511" s="1083"/>
      <c r="N511" s="1083"/>
      <c r="O511" s="1084">
        <v>409.5</v>
      </c>
      <c r="P511" s="1084"/>
      <c r="Q511" s="1084"/>
      <c r="R511" s="1084"/>
      <c r="S511" s="1107">
        <f t="shared" si="18"/>
        <v>98.28</v>
      </c>
      <c r="T511" s="1108"/>
      <c r="U511" s="1108"/>
      <c r="V511" s="1096"/>
    </row>
    <row r="512" spans="2:22" ht="17.45" customHeight="1">
      <c r="B512" s="475"/>
      <c r="C512" s="501">
        <v>1107896</v>
      </c>
      <c r="D512" s="1081" t="s">
        <v>817</v>
      </c>
      <c r="E512" s="1081"/>
      <c r="F512" s="1081"/>
      <c r="G512" s="1081"/>
      <c r="H512" s="1081"/>
      <c r="I512" s="1081"/>
      <c r="J512" s="1082" t="s">
        <v>703</v>
      </c>
      <c r="K512" s="1082"/>
      <c r="L512" s="1083">
        <v>0.83</v>
      </c>
      <c r="M512" s="1083"/>
      <c r="N512" s="1083"/>
      <c r="O512" s="1084">
        <v>383.61</v>
      </c>
      <c r="P512" s="1084"/>
      <c r="Q512" s="1084"/>
      <c r="R512" s="1084"/>
      <c r="S512" s="1107">
        <f t="shared" si="18"/>
        <v>318.3963</v>
      </c>
      <c r="T512" s="1108"/>
      <c r="U512" s="1108"/>
      <c r="V512" s="1096"/>
    </row>
    <row r="513" spans="2:22" ht="17.45" customHeight="1">
      <c r="B513" s="475"/>
      <c r="C513" s="501">
        <v>2009619</v>
      </c>
      <c r="D513" s="1081" t="s">
        <v>814</v>
      </c>
      <c r="E513" s="1081"/>
      <c r="F513" s="1081"/>
      <c r="G513" s="1081"/>
      <c r="H513" s="1081"/>
      <c r="I513" s="1081"/>
      <c r="J513" s="1082" t="s">
        <v>653</v>
      </c>
      <c r="K513" s="1082"/>
      <c r="L513" s="1083">
        <v>9.5399999999999991</v>
      </c>
      <c r="M513" s="1083"/>
      <c r="N513" s="1083"/>
      <c r="O513" s="1084">
        <v>94.69</v>
      </c>
      <c r="P513" s="1084"/>
      <c r="Q513" s="1084"/>
      <c r="R513" s="1084"/>
      <c r="S513" s="1107">
        <f t="shared" si="18"/>
        <v>903.34259999999995</v>
      </c>
      <c r="T513" s="1108"/>
      <c r="U513" s="1108"/>
      <c r="V513" s="1096"/>
    </row>
    <row r="514" spans="2:22" ht="17.45" customHeight="1">
      <c r="B514" s="471"/>
      <c r="C514" s="502">
        <v>3103302</v>
      </c>
      <c r="D514" s="1098" t="s">
        <v>810</v>
      </c>
      <c r="E514" s="1098"/>
      <c r="F514" s="1098"/>
      <c r="G514" s="1098"/>
      <c r="H514" s="1098"/>
      <c r="I514" s="1098"/>
      <c r="J514" s="1099" t="s">
        <v>653</v>
      </c>
      <c r="K514" s="1099"/>
      <c r="L514" s="1100">
        <v>4.13</v>
      </c>
      <c r="M514" s="1100"/>
      <c r="N514" s="1100"/>
      <c r="O514" s="1101">
        <v>55.47</v>
      </c>
      <c r="P514" s="1101"/>
      <c r="Q514" s="1101"/>
      <c r="R514" s="1101"/>
      <c r="S514" s="1109">
        <f t="shared" si="18"/>
        <v>229.09109999999998</v>
      </c>
      <c r="T514" s="1110"/>
      <c r="U514" s="1110"/>
      <c r="V514" s="1111"/>
    </row>
    <row r="515" spans="2:22" ht="17.45" customHeight="1">
      <c r="B515" s="1103"/>
      <c r="C515" s="1103"/>
      <c r="D515" s="1103"/>
      <c r="E515" s="1103"/>
      <c r="F515" s="1103"/>
      <c r="G515" s="1103"/>
      <c r="H515" s="1103"/>
      <c r="I515" s="1104" t="s">
        <v>645</v>
      </c>
      <c r="J515" s="1104"/>
      <c r="K515" s="1104"/>
      <c r="L515" s="1104"/>
      <c r="M515" s="1104"/>
      <c r="N515" s="1104"/>
      <c r="O515" s="1104"/>
      <c r="P515" s="1104"/>
      <c r="Q515" s="1104"/>
      <c r="R515" s="1104"/>
      <c r="S515" s="1105">
        <f>SUM(S509:V514)</f>
        <v>1924.645008</v>
      </c>
      <c r="T515" s="1105"/>
      <c r="U515" s="1105"/>
      <c r="V515" s="1105"/>
    </row>
    <row r="516" spans="2:22" ht="17.45" customHeight="1">
      <c r="B516" s="1093"/>
      <c r="C516" s="1093"/>
      <c r="D516" s="1093"/>
      <c r="E516" s="1093"/>
      <c r="F516" s="1093"/>
      <c r="G516" s="1093"/>
      <c r="H516" s="1093"/>
      <c r="I516" s="1093"/>
      <c r="J516" s="1093"/>
      <c r="K516" s="1093"/>
      <c r="L516" s="1093"/>
      <c r="M516" s="1093"/>
      <c r="N516" s="1093"/>
      <c r="O516" s="1093"/>
      <c r="P516" s="1093"/>
      <c r="Q516" s="1093"/>
      <c r="R516" s="1093"/>
      <c r="S516" s="1093"/>
      <c r="T516" s="1093"/>
      <c r="U516" s="1093"/>
      <c r="V516" s="1093"/>
    </row>
    <row r="517" spans="2:22" ht="17.45" customHeight="1">
      <c r="B517" s="1094"/>
      <c r="C517" s="1094"/>
      <c r="D517" s="1094"/>
      <c r="E517" s="1094"/>
      <c r="F517" s="1094"/>
      <c r="G517" s="1094"/>
      <c r="H517" s="1094"/>
      <c r="I517" s="1095" t="s">
        <v>646</v>
      </c>
      <c r="J517" s="1095"/>
      <c r="K517" s="1095"/>
      <c r="L517" s="1095"/>
      <c r="M517" s="1095"/>
      <c r="N517" s="1095"/>
      <c r="O517" s="1095"/>
      <c r="P517" s="1095"/>
      <c r="Q517" s="1095"/>
      <c r="R517" s="1095"/>
      <c r="S517" s="1096">
        <f>S515</f>
        <v>1924.645008</v>
      </c>
      <c r="T517" s="1096"/>
      <c r="U517" s="1096"/>
      <c r="V517" s="1096"/>
    </row>
    <row r="518" spans="2:22" ht="17.45" customHeight="1">
      <c r="B518" s="1094"/>
      <c r="C518" s="1094"/>
      <c r="D518" s="1094"/>
      <c r="E518" s="1094"/>
      <c r="F518" s="1094"/>
      <c r="G518" s="1094"/>
      <c r="H518" s="1095" t="s">
        <v>647</v>
      </c>
      <c r="I518" s="1095"/>
      <c r="J518" s="1095"/>
      <c r="K518" s="1095"/>
      <c r="L518" s="1095"/>
      <c r="M518" s="1097">
        <v>20.7</v>
      </c>
      <c r="N518" s="1097"/>
      <c r="O518" s="1097"/>
      <c r="P518" s="1095" t="s">
        <v>648</v>
      </c>
      <c r="Q518" s="1095"/>
      <c r="R518" s="1095"/>
      <c r="S518" s="1096">
        <f>S517*M518%</f>
        <v>398.40151665599996</v>
      </c>
      <c r="T518" s="1096"/>
      <c r="U518" s="1096"/>
      <c r="V518" s="1096"/>
    </row>
    <row r="519" spans="2:22" ht="17.45" customHeight="1">
      <c r="B519" s="1094"/>
      <c r="C519" s="1094"/>
      <c r="D519" s="1094"/>
      <c r="E519" s="1094"/>
      <c r="F519" s="1094"/>
      <c r="G519" s="1094"/>
      <c r="H519" s="1094"/>
      <c r="I519" s="1095" t="s">
        <v>649</v>
      </c>
      <c r="J519" s="1095"/>
      <c r="K519" s="1095"/>
      <c r="L519" s="1095"/>
      <c r="M519" s="1095"/>
      <c r="N519" s="1095"/>
      <c r="O519" s="1095"/>
      <c r="P519" s="1095"/>
      <c r="Q519" s="1095"/>
      <c r="R519" s="1095"/>
      <c r="S519" s="1096">
        <f>S517+S518</f>
        <v>2323.0465246559997</v>
      </c>
      <c r="T519" s="1096"/>
      <c r="U519" s="1096"/>
      <c r="V519" s="1096"/>
    </row>
    <row r="520" spans="2:22" ht="144.94999999999999" customHeight="1">
      <c r="B520" s="475"/>
      <c r="V520" s="478"/>
    </row>
    <row r="521" spans="2:22" ht="144.94999999999999" customHeight="1">
      <c r="B521" s="475"/>
      <c r="V521" s="478"/>
    </row>
    <row r="522" spans="2:22" ht="144.94999999999999" customHeight="1">
      <c r="B522" s="475"/>
      <c r="V522" s="478"/>
    </row>
    <row r="523" spans="2:22" ht="17.45" customHeight="1">
      <c r="B523" s="471"/>
      <c r="C523" s="472"/>
      <c r="D523" s="479"/>
      <c r="E523" s="479"/>
      <c r="F523" s="479"/>
      <c r="G523" s="479"/>
      <c r="H523" s="479"/>
      <c r="I523" s="479"/>
      <c r="J523" s="479"/>
      <c r="K523" s="472"/>
      <c r="L523" s="472"/>
      <c r="M523" s="472"/>
      <c r="N523" s="472"/>
      <c r="O523" s="472"/>
      <c r="P523" s="472"/>
      <c r="Q523" s="472"/>
      <c r="R523" s="472"/>
      <c r="S523" s="472"/>
      <c r="T523" s="472"/>
      <c r="U523" s="472"/>
      <c r="V523" s="474"/>
    </row>
  </sheetData>
  <mergeCells count="1618">
    <mergeCell ref="B222:V222"/>
    <mergeCell ref="B223:H223"/>
    <mergeCell ref="I223:R223"/>
    <mergeCell ref="S223:V223"/>
    <mergeCell ref="B224:G224"/>
    <mergeCell ref="H224:L224"/>
    <mergeCell ref="M224:O224"/>
    <mergeCell ref="P224:R224"/>
    <mergeCell ref="S224:V224"/>
    <mergeCell ref="B225:H225"/>
    <mergeCell ref="I225:R225"/>
    <mergeCell ref="S225:V225"/>
    <mergeCell ref="D218:I218"/>
    <mergeCell ref="J218:K218"/>
    <mergeCell ref="L218:N218"/>
    <mergeCell ref="O218:R218"/>
    <mergeCell ref="S218:V218"/>
    <mergeCell ref="D219:I219"/>
    <mergeCell ref="J219:K219"/>
    <mergeCell ref="L219:N219"/>
    <mergeCell ref="O219:R219"/>
    <mergeCell ref="S219:V219"/>
    <mergeCell ref="D220:I220"/>
    <mergeCell ref="J220:K220"/>
    <mergeCell ref="L220:N220"/>
    <mergeCell ref="O220:R220"/>
    <mergeCell ref="S220:V220"/>
    <mergeCell ref="B221:H221"/>
    <mergeCell ref="I221:R221"/>
    <mergeCell ref="S221:V221"/>
    <mergeCell ref="D214:I214"/>
    <mergeCell ref="J214:K214"/>
    <mergeCell ref="L214:N214"/>
    <mergeCell ref="O214:R214"/>
    <mergeCell ref="S214:V214"/>
    <mergeCell ref="D215:I215"/>
    <mergeCell ref="J215:K215"/>
    <mergeCell ref="L215:N215"/>
    <mergeCell ref="O215:R215"/>
    <mergeCell ref="S215:V215"/>
    <mergeCell ref="D216:I216"/>
    <mergeCell ref="J216:K216"/>
    <mergeCell ref="L216:N216"/>
    <mergeCell ref="O216:R216"/>
    <mergeCell ref="S216:V216"/>
    <mergeCell ref="D217:I217"/>
    <mergeCell ref="J217:K217"/>
    <mergeCell ref="L217:N217"/>
    <mergeCell ref="O217:R217"/>
    <mergeCell ref="S217:V217"/>
    <mergeCell ref="D210:I210"/>
    <mergeCell ref="J210:K210"/>
    <mergeCell ref="L210:N210"/>
    <mergeCell ref="O210:R210"/>
    <mergeCell ref="S210:V210"/>
    <mergeCell ref="D211:I211"/>
    <mergeCell ref="J211:K211"/>
    <mergeCell ref="L211:N211"/>
    <mergeCell ref="O211:R211"/>
    <mergeCell ref="S211:V211"/>
    <mergeCell ref="D212:I212"/>
    <mergeCell ref="J212:K212"/>
    <mergeCell ref="L212:N212"/>
    <mergeCell ref="O212:R212"/>
    <mergeCell ref="S212:V212"/>
    <mergeCell ref="D213:I213"/>
    <mergeCell ref="J213:K213"/>
    <mergeCell ref="L213:N213"/>
    <mergeCell ref="O213:R213"/>
    <mergeCell ref="S213:V213"/>
    <mergeCell ref="N206:P206"/>
    <mergeCell ref="R206:S206"/>
    <mergeCell ref="B207:C207"/>
    <mergeCell ref="D207:I207"/>
    <mergeCell ref="J207:K207"/>
    <mergeCell ref="L207:N207"/>
    <mergeCell ref="O207:R207"/>
    <mergeCell ref="S207:V207"/>
    <mergeCell ref="D208:I208"/>
    <mergeCell ref="J208:K208"/>
    <mergeCell ref="L208:N208"/>
    <mergeCell ref="O208:R208"/>
    <mergeCell ref="S208:V208"/>
    <mergeCell ref="D209:I209"/>
    <mergeCell ref="J209:K209"/>
    <mergeCell ref="L209:N209"/>
    <mergeCell ref="O209:R209"/>
    <mergeCell ref="S209:V209"/>
    <mergeCell ref="B518:G518"/>
    <mergeCell ref="H518:L518"/>
    <mergeCell ref="M518:O518"/>
    <mergeCell ref="P518:R518"/>
    <mergeCell ref="S518:V518"/>
    <mergeCell ref="B519:H519"/>
    <mergeCell ref="I519:R519"/>
    <mergeCell ref="S519:V519"/>
    <mergeCell ref="B515:H515"/>
    <mergeCell ref="I515:R515"/>
    <mergeCell ref="S515:V515"/>
    <mergeCell ref="B516:V516"/>
    <mergeCell ref="B517:H517"/>
    <mergeCell ref="I517:R517"/>
    <mergeCell ref="S517:V517"/>
    <mergeCell ref="D513:I513"/>
    <mergeCell ref="J513:K513"/>
    <mergeCell ref="L513:N513"/>
    <mergeCell ref="O513:R513"/>
    <mergeCell ref="S513:V513"/>
    <mergeCell ref="D514:I514"/>
    <mergeCell ref="J514:K514"/>
    <mergeCell ref="L514:N514"/>
    <mergeCell ref="O514:R514"/>
    <mergeCell ref="S514:V514"/>
    <mergeCell ref="D511:I511"/>
    <mergeCell ref="J511:K511"/>
    <mergeCell ref="L511:N511"/>
    <mergeCell ref="O511:R511"/>
    <mergeCell ref="S511:V511"/>
    <mergeCell ref="D512:I512"/>
    <mergeCell ref="J512:K512"/>
    <mergeCell ref="L512:N512"/>
    <mergeCell ref="O512:R512"/>
    <mergeCell ref="S512:V512"/>
    <mergeCell ref="D509:I509"/>
    <mergeCell ref="J509:K509"/>
    <mergeCell ref="L509:N509"/>
    <mergeCell ref="O509:R509"/>
    <mergeCell ref="S509:V509"/>
    <mergeCell ref="D510:I510"/>
    <mergeCell ref="J510:K510"/>
    <mergeCell ref="L510:N510"/>
    <mergeCell ref="O510:R510"/>
    <mergeCell ref="S510:V510"/>
    <mergeCell ref="S493:V493"/>
    <mergeCell ref="D491:I491"/>
    <mergeCell ref="J491:K491"/>
    <mergeCell ref="L491:N491"/>
    <mergeCell ref="O491:R491"/>
    <mergeCell ref="S491:V491"/>
    <mergeCell ref="D492:I492"/>
    <mergeCell ref="J492:K492"/>
    <mergeCell ref="L492:N492"/>
    <mergeCell ref="O492:R492"/>
    <mergeCell ref="S492:V492"/>
    <mergeCell ref="S495:V495"/>
    <mergeCell ref="S496:V496"/>
    <mergeCell ref="R507:S507"/>
    <mergeCell ref="B508:C508"/>
    <mergeCell ref="D508:I508"/>
    <mergeCell ref="J508:K508"/>
    <mergeCell ref="L508:N508"/>
    <mergeCell ref="O508:R508"/>
    <mergeCell ref="S508:V508"/>
    <mergeCell ref="C506:D507"/>
    <mergeCell ref="E506:J507"/>
    <mergeCell ref="K506:L506"/>
    <mergeCell ref="N506:P506"/>
    <mergeCell ref="K507:L507"/>
    <mergeCell ref="N507:P507"/>
    <mergeCell ref="C505:E505"/>
    <mergeCell ref="G505:L505"/>
    <mergeCell ref="N505:U505"/>
    <mergeCell ref="B479:V479"/>
    <mergeCell ref="B490:C490"/>
    <mergeCell ref="D490:I490"/>
    <mergeCell ref="J490:K490"/>
    <mergeCell ref="L490:N490"/>
    <mergeCell ref="O490:R490"/>
    <mergeCell ref="S490:V490"/>
    <mergeCell ref="C487:E487"/>
    <mergeCell ref="G487:L487"/>
    <mergeCell ref="N487:U487"/>
    <mergeCell ref="C488:D489"/>
    <mergeCell ref="E488:J489"/>
    <mergeCell ref="K488:L488"/>
    <mergeCell ref="N488:P488"/>
    <mergeCell ref="K489:L489"/>
    <mergeCell ref="N489:P489"/>
    <mergeCell ref="R489:S489"/>
    <mergeCell ref="S480:V480"/>
    <mergeCell ref="S481:V481"/>
    <mergeCell ref="B480:H480"/>
    <mergeCell ref="I480:R480"/>
    <mergeCell ref="B481:G481"/>
    <mergeCell ref="H481:L481"/>
    <mergeCell ref="M481:O481"/>
    <mergeCell ref="P481:R481"/>
    <mergeCell ref="B482:H482"/>
    <mergeCell ref="I482:R482"/>
    <mergeCell ref="S477:V477"/>
    <mergeCell ref="D475:I475"/>
    <mergeCell ref="J475:K475"/>
    <mergeCell ref="L475:N475"/>
    <mergeCell ref="O475:R475"/>
    <mergeCell ref="S475:V475"/>
    <mergeCell ref="D476:I476"/>
    <mergeCell ref="J476:K476"/>
    <mergeCell ref="L476:N476"/>
    <mergeCell ref="O476:R476"/>
    <mergeCell ref="S476:V476"/>
    <mergeCell ref="D477:I477"/>
    <mergeCell ref="J477:K477"/>
    <mergeCell ref="L477:N477"/>
    <mergeCell ref="O477:R477"/>
    <mergeCell ref="B478:H478"/>
    <mergeCell ref="I478:R478"/>
    <mergeCell ref="S478:V478"/>
    <mergeCell ref="R473:S473"/>
    <mergeCell ref="B474:C474"/>
    <mergeCell ref="D474:I474"/>
    <mergeCell ref="J474:K474"/>
    <mergeCell ref="L474:N474"/>
    <mergeCell ref="O474:R474"/>
    <mergeCell ref="S474:V474"/>
    <mergeCell ref="C472:D473"/>
    <mergeCell ref="E472:J473"/>
    <mergeCell ref="K472:L472"/>
    <mergeCell ref="N472:P472"/>
    <mergeCell ref="K473:L473"/>
    <mergeCell ref="N473:P473"/>
    <mergeCell ref="B466:H466"/>
    <mergeCell ref="I466:R466"/>
    <mergeCell ref="S466:V466"/>
    <mergeCell ref="C471:E471"/>
    <mergeCell ref="G471:L471"/>
    <mergeCell ref="N471:U471"/>
    <mergeCell ref="B463:V463"/>
    <mergeCell ref="B464:H464"/>
    <mergeCell ref="I464:R464"/>
    <mergeCell ref="S464:V464"/>
    <mergeCell ref="B465:G465"/>
    <mergeCell ref="H465:L465"/>
    <mergeCell ref="M465:O465"/>
    <mergeCell ref="P465:R465"/>
    <mergeCell ref="S465:V465"/>
    <mergeCell ref="D461:I461"/>
    <mergeCell ref="J461:K461"/>
    <mergeCell ref="L461:N461"/>
    <mergeCell ref="O461:R461"/>
    <mergeCell ref="S461:V461"/>
    <mergeCell ref="B462:H462"/>
    <mergeCell ref="I462:R462"/>
    <mergeCell ref="S462:V462"/>
    <mergeCell ref="D459:I459"/>
    <mergeCell ref="J459:K459"/>
    <mergeCell ref="L459:N459"/>
    <mergeCell ref="O459:R459"/>
    <mergeCell ref="S459:V459"/>
    <mergeCell ref="D460:I460"/>
    <mergeCell ref="J460:K460"/>
    <mergeCell ref="L460:N460"/>
    <mergeCell ref="O460:R460"/>
    <mergeCell ref="S460:V460"/>
    <mergeCell ref="R457:S457"/>
    <mergeCell ref="B458:C458"/>
    <mergeCell ref="D458:I458"/>
    <mergeCell ref="J458:K458"/>
    <mergeCell ref="L458:N458"/>
    <mergeCell ref="O458:R458"/>
    <mergeCell ref="S458:V458"/>
    <mergeCell ref="C456:D457"/>
    <mergeCell ref="E456:J457"/>
    <mergeCell ref="K456:L456"/>
    <mergeCell ref="N456:P456"/>
    <mergeCell ref="K457:L457"/>
    <mergeCell ref="N457:P457"/>
    <mergeCell ref="B450:H450"/>
    <mergeCell ref="I450:R450"/>
    <mergeCell ref="S450:V450"/>
    <mergeCell ref="C455:E455"/>
    <mergeCell ref="G455:L455"/>
    <mergeCell ref="N455:U455"/>
    <mergeCell ref="B447:V447"/>
    <mergeCell ref="B448:H448"/>
    <mergeCell ref="I448:R448"/>
    <mergeCell ref="S448:V448"/>
    <mergeCell ref="B449:G449"/>
    <mergeCell ref="H449:L449"/>
    <mergeCell ref="M449:O449"/>
    <mergeCell ref="P449:R449"/>
    <mergeCell ref="S449:V449"/>
    <mergeCell ref="D445:I445"/>
    <mergeCell ref="J445:K445"/>
    <mergeCell ref="L445:N445"/>
    <mergeCell ref="O445:R445"/>
    <mergeCell ref="S445:V445"/>
    <mergeCell ref="B446:H446"/>
    <mergeCell ref="I446:R446"/>
    <mergeCell ref="S446:V446"/>
    <mergeCell ref="D443:I443"/>
    <mergeCell ref="J443:K443"/>
    <mergeCell ref="L443:N443"/>
    <mergeCell ref="O443:R443"/>
    <mergeCell ref="S443:V443"/>
    <mergeCell ref="D444:I444"/>
    <mergeCell ref="J444:K444"/>
    <mergeCell ref="L444:N444"/>
    <mergeCell ref="O444:R444"/>
    <mergeCell ref="S444:V444"/>
    <mergeCell ref="D441:I441"/>
    <mergeCell ref="J441:K441"/>
    <mergeCell ref="L441:N441"/>
    <mergeCell ref="O441:R441"/>
    <mergeCell ref="S441:V441"/>
    <mergeCell ref="D442:I442"/>
    <mergeCell ref="J442:K442"/>
    <mergeCell ref="L442:N442"/>
    <mergeCell ref="O442:R442"/>
    <mergeCell ref="S442:V442"/>
    <mergeCell ref="B440:C440"/>
    <mergeCell ref="D440:I440"/>
    <mergeCell ref="J440:K440"/>
    <mergeCell ref="L440:N440"/>
    <mergeCell ref="O440:R440"/>
    <mergeCell ref="S440:V440"/>
    <mergeCell ref="C437:E437"/>
    <mergeCell ref="G437:L437"/>
    <mergeCell ref="N437:U437"/>
    <mergeCell ref="C438:D439"/>
    <mergeCell ref="E438:J439"/>
    <mergeCell ref="K438:L438"/>
    <mergeCell ref="N438:P438"/>
    <mergeCell ref="K439:L439"/>
    <mergeCell ref="N439:P439"/>
    <mergeCell ref="R439:S439"/>
    <mergeCell ref="B431:G431"/>
    <mergeCell ref="H431:L431"/>
    <mergeCell ref="M431:O431"/>
    <mergeCell ref="P431:R431"/>
    <mergeCell ref="S431:V431"/>
    <mergeCell ref="B432:H432"/>
    <mergeCell ref="I432:R432"/>
    <mergeCell ref="S432:V432"/>
    <mergeCell ref="B428:H428"/>
    <mergeCell ref="I428:R428"/>
    <mergeCell ref="S428:V428"/>
    <mergeCell ref="B429:V429"/>
    <mergeCell ref="B430:H430"/>
    <mergeCell ref="I430:R430"/>
    <mergeCell ref="S430:V430"/>
    <mergeCell ref="D426:I426"/>
    <mergeCell ref="J426:K426"/>
    <mergeCell ref="L426:N426"/>
    <mergeCell ref="O426:R426"/>
    <mergeCell ref="S426:V426"/>
    <mergeCell ref="D427:I427"/>
    <mergeCell ref="J427:K427"/>
    <mergeCell ref="L427:N427"/>
    <mergeCell ref="O427:R427"/>
    <mergeCell ref="S427:V427"/>
    <mergeCell ref="D424:I424"/>
    <mergeCell ref="J424:K424"/>
    <mergeCell ref="L424:N424"/>
    <mergeCell ref="O424:R424"/>
    <mergeCell ref="S424:V424"/>
    <mergeCell ref="D425:I425"/>
    <mergeCell ref="J425:K425"/>
    <mergeCell ref="L425:N425"/>
    <mergeCell ref="O425:R425"/>
    <mergeCell ref="S425:V425"/>
    <mergeCell ref="R422:S422"/>
    <mergeCell ref="B423:C423"/>
    <mergeCell ref="D423:I423"/>
    <mergeCell ref="J423:K423"/>
    <mergeCell ref="L423:N423"/>
    <mergeCell ref="O423:R423"/>
    <mergeCell ref="S423:V423"/>
    <mergeCell ref="C421:D422"/>
    <mergeCell ref="E421:J422"/>
    <mergeCell ref="K421:L421"/>
    <mergeCell ref="N421:P421"/>
    <mergeCell ref="K422:L422"/>
    <mergeCell ref="N422:P422"/>
    <mergeCell ref="B415:H415"/>
    <mergeCell ref="I415:R415"/>
    <mergeCell ref="S415:V415"/>
    <mergeCell ref="C420:E420"/>
    <mergeCell ref="G420:L420"/>
    <mergeCell ref="N420:U420"/>
    <mergeCell ref="B412:V412"/>
    <mergeCell ref="B413:H413"/>
    <mergeCell ref="I413:R413"/>
    <mergeCell ref="S413:V413"/>
    <mergeCell ref="B414:G414"/>
    <mergeCell ref="H414:L414"/>
    <mergeCell ref="M414:O414"/>
    <mergeCell ref="P414:R414"/>
    <mergeCell ref="S414:V414"/>
    <mergeCell ref="D410:I410"/>
    <mergeCell ref="J410:K410"/>
    <mergeCell ref="L410:N410"/>
    <mergeCell ref="O410:R410"/>
    <mergeCell ref="S410:V410"/>
    <mergeCell ref="B411:H411"/>
    <mergeCell ref="I411:R411"/>
    <mergeCell ref="S411:V411"/>
    <mergeCell ref="D408:I408"/>
    <mergeCell ref="J408:K408"/>
    <mergeCell ref="L408:N408"/>
    <mergeCell ref="O408:R408"/>
    <mergeCell ref="S408:V408"/>
    <mergeCell ref="D409:I409"/>
    <mergeCell ref="J409:K409"/>
    <mergeCell ref="L409:N409"/>
    <mergeCell ref="O409:R409"/>
    <mergeCell ref="S409:V409"/>
    <mergeCell ref="D406:I406"/>
    <mergeCell ref="J406:K406"/>
    <mergeCell ref="L406:N406"/>
    <mergeCell ref="O406:R406"/>
    <mergeCell ref="S406:V406"/>
    <mergeCell ref="D407:I407"/>
    <mergeCell ref="J407:K407"/>
    <mergeCell ref="L407:N407"/>
    <mergeCell ref="O407:R407"/>
    <mergeCell ref="S407:V407"/>
    <mergeCell ref="B405:C405"/>
    <mergeCell ref="D405:I405"/>
    <mergeCell ref="J405:K405"/>
    <mergeCell ref="L405:N405"/>
    <mergeCell ref="O405:R405"/>
    <mergeCell ref="S405:V405"/>
    <mergeCell ref="C402:E402"/>
    <mergeCell ref="G402:L402"/>
    <mergeCell ref="N402:U402"/>
    <mergeCell ref="C403:D404"/>
    <mergeCell ref="E403:J404"/>
    <mergeCell ref="K403:L403"/>
    <mergeCell ref="N403:P403"/>
    <mergeCell ref="K404:L404"/>
    <mergeCell ref="N404:P404"/>
    <mergeCell ref="R404:S404"/>
    <mergeCell ref="B396:G396"/>
    <mergeCell ref="H396:L396"/>
    <mergeCell ref="M396:O396"/>
    <mergeCell ref="P396:R396"/>
    <mergeCell ref="S396:V396"/>
    <mergeCell ref="B397:H397"/>
    <mergeCell ref="I397:R397"/>
    <mergeCell ref="S397:V397"/>
    <mergeCell ref="B393:H393"/>
    <mergeCell ref="I393:R393"/>
    <mergeCell ref="S393:V393"/>
    <mergeCell ref="B394:V394"/>
    <mergeCell ref="B395:H395"/>
    <mergeCell ref="I395:R395"/>
    <mergeCell ref="S395:V395"/>
    <mergeCell ref="D391:I391"/>
    <mergeCell ref="J391:K391"/>
    <mergeCell ref="L391:N391"/>
    <mergeCell ref="O391:R391"/>
    <mergeCell ref="S391:V391"/>
    <mergeCell ref="D392:I392"/>
    <mergeCell ref="J392:K392"/>
    <mergeCell ref="L392:N392"/>
    <mergeCell ref="O392:R392"/>
    <mergeCell ref="S392:V392"/>
    <mergeCell ref="D389:I389"/>
    <mergeCell ref="J389:K389"/>
    <mergeCell ref="L389:N389"/>
    <mergeCell ref="O389:R389"/>
    <mergeCell ref="S389:V389"/>
    <mergeCell ref="D390:I390"/>
    <mergeCell ref="J390:K390"/>
    <mergeCell ref="L390:N390"/>
    <mergeCell ref="O390:R390"/>
    <mergeCell ref="S390:V390"/>
    <mergeCell ref="D387:I387"/>
    <mergeCell ref="J387:K387"/>
    <mergeCell ref="L387:N387"/>
    <mergeCell ref="O387:R387"/>
    <mergeCell ref="S387:V387"/>
    <mergeCell ref="D388:I388"/>
    <mergeCell ref="J388:K388"/>
    <mergeCell ref="L388:N388"/>
    <mergeCell ref="O388:R388"/>
    <mergeCell ref="S388:V388"/>
    <mergeCell ref="R385:S385"/>
    <mergeCell ref="B386:C386"/>
    <mergeCell ref="D386:I386"/>
    <mergeCell ref="J386:K386"/>
    <mergeCell ref="L386:N386"/>
    <mergeCell ref="O386:R386"/>
    <mergeCell ref="S386:V386"/>
    <mergeCell ref="C384:D385"/>
    <mergeCell ref="E384:J385"/>
    <mergeCell ref="K384:L384"/>
    <mergeCell ref="N384:P384"/>
    <mergeCell ref="K385:L385"/>
    <mergeCell ref="N385:P385"/>
    <mergeCell ref="B378:H378"/>
    <mergeCell ref="I378:R378"/>
    <mergeCell ref="S378:V378"/>
    <mergeCell ref="C383:E383"/>
    <mergeCell ref="G383:L383"/>
    <mergeCell ref="N383:U383"/>
    <mergeCell ref="B375:V375"/>
    <mergeCell ref="B376:H376"/>
    <mergeCell ref="I376:R376"/>
    <mergeCell ref="S376:V376"/>
    <mergeCell ref="B377:G377"/>
    <mergeCell ref="H377:L377"/>
    <mergeCell ref="M377:O377"/>
    <mergeCell ref="P377:R377"/>
    <mergeCell ref="S377:V377"/>
    <mergeCell ref="D373:I373"/>
    <mergeCell ref="J373:K373"/>
    <mergeCell ref="L373:N373"/>
    <mergeCell ref="O373:R373"/>
    <mergeCell ref="S373:V373"/>
    <mergeCell ref="B374:H374"/>
    <mergeCell ref="I374:R374"/>
    <mergeCell ref="S374:V374"/>
    <mergeCell ref="D371:I371"/>
    <mergeCell ref="J371:K371"/>
    <mergeCell ref="L371:N371"/>
    <mergeCell ref="O371:R371"/>
    <mergeCell ref="S371:V371"/>
    <mergeCell ref="D372:I372"/>
    <mergeCell ref="J372:K372"/>
    <mergeCell ref="L372:N372"/>
    <mergeCell ref="O372:R372"/>
    <mergeCell ref="S372:V372"/>
    <mergeCell ref="R369:S369"/>
    <mergeCell ref="B370:C370"/>
    <mergeCell ref="D370:I370"/>
    <mergeCell ref="J370:K370"/>
    <mergeCell ref="L370:N370"/>
    <mergeCell ref="O370:R370"/>
    <mergeCell ref="S370:V370"/>
    <mergeCell ref="C368:D369"/>
    <mergeCell ref="E368:J369"/>
    <mergeCell ref="K368:L368"/>
    <mergeCell ref="N368:P368"/>
    <mergeCell ref="K369:L369"/>
    <mergeCell ref="N369:P369"/>
    <mergeCell ref="B362:H362"/>
    <mergeCell ref="I362:R362"/>
    <mergeCell ref="S362:V362"/>
    <mergeCell ref="C367:E367"/>
    <mergeCell ref="G367:L367"/>
    <mergeCell ref="N367:U367"/>
    <mergeCell ref="B359:V359"/>
    <mergeCell ref="B360:H360"/>
    <mergeCell ref="I360:R360"/>
    <mergeCell ref="S360:V360"/>
    <mergeCell ref="B361:G361"/>
    <mergeCell ref="H361:L361"/>
    <mergeCell ref="M361:O361"/>
    <mergeCell ref="P361:R361"/>
    <mergeCell ref="S361:V361"/>
    <mergeCell ref="D357:I357"/>
    <mergeCell ref="J357:K357"/>
    <mergeCell ref="L357:N357"/>
    <mergeCell ref="O357:R357"/>
    <mergeCell ref="S357:V357"/>
    <mergeCell ref="B358:H358"/>
    <mergeCell ref="I358:R358"/>
    <mergeCell ref="S358:V358"/>
    <mergeCell ref="D355:I355"/>
    <mergeCell ref="J355:K355"/>
    <mergeCell ref="L355:N355"/>
    <mergeCell ref="O355:R355"/>
    <mergeCell ref="S355:V355"/>
    <mergeCell ref="D356:I356"/>
    <mergeCell ref="J356:K356"/>
    <mergeCell ref="L356:N356"/>
    <mergeCell ref="O356:R356"/>
    <mergeCell ref="S356:V356"/>
    <mergeCell ref="D353:I353"/>
    <mergeCell ref="J353:K353"/>
    <mergeCell ref="L353:N353"/>
    <mergeCell ref="O353:R353"/>
    <mergeCell ref="S353:V353"/>
    <mergeCell ref="D354:I354"/>
    <mergeCell ref="J354:K354"/>
    <mergeCell ref="L354:N354"/>
    <mergeCell ref="O354:R354"/>
    <mergeCell ref="S354:V354"/>
    <mergeCell ref="D351:I351"/>
    <mergeCell ref="J351:K351"/>
    <mergeCell ref="L351:N351"/>
    <mergeCell ref="O351:R351"/>
    <mergeCell ref="S351:V351"/>
    <mergeCell ref="D352:I352"/>
    <mergeCell ref="J352:K352"/>
    <mergeCell ref="L352:N352"/>
    <mergeCell ref="O352:R352"/>
    <mergeCell ref="S352:V352"/>
    <mergeCell ref="R349:S349"/>
    <mergeCell ref="B350:C350"/>
    <mergeCell ref="D350:I350"/>
    <mergeCell ref="J350:K350"/>
    <mergeCell ref="L350:N350"/>
    <mergeCell ref="O350:R350"/>
    <mergeCell ref="S350:V350"/>
    <mergeCell ref="C348:D349"/>
    <mergeCell ref="E348:J349"/>
    <mergeCell ref="K348:L348"/>
    <mergeCell ref="N348:P348"/>
    <mergeCell ref="K349:L349"/>
    <mergeCell ref="N349:P349"/>
    <mergeCell ref="B341:H341"/>
    <mergeCell ref="I341:R341"/>
    <mergeCell ref="S341:V341"/>
    <mergeCell ref="C347:E347"/>
    <mergeCell ref="G347:L347"/>
    <mergeCell ref="N347:U347"/>
    <mergeCell ref="B338:V338"/>
    <mergeCell ref="B339:H339"/>
    <mergeCell ref="I339:R339"/>
    <mergeCell ref="S339:V339"/>
    <mergeCell ref="B340:G340"/>
    <mergeCell ref="H340:L340"/>
    <mergeCell ref="M340:O340"/>
    <mergeCell ref="P340:R340"/>
    <mergeCell ref="S340:V340"/>
    <mergeCell ref="D336:I336"/>
    <mergeCell ref="J336:K336"/>
    <mergeCell ref="L336:N336"/>
    <mergeCell ref="O336:R336"/>
    <mergeCell ref="S336:V336"/>
    <mergeCell ref="B337:H337"/>
    <mergeCell ref="I337:R337"/>
    <mergeCell ref="S337:V337"/>
    <mergeCell ref="R334:S334"/>
    <mergeCell ref="B335:C335"/>
    <mergeCell ref="D335:I335"/>
    <mergeCell ref="J335:K335"/>
    <mergeCell ref="L335:N335"/>
    <mergeCell ref="O335:R335"/>
    <mergeCell ref="S335:V335"/>
    <mergeCell ref="C333:D334"/>
    <mergeCell ref="E333:J334"/>
    <mergeCell ref="K333:L333"/>
    <mergeCell ref="N333:P333"/>
    <mergeCell ref="K334:L334"/>
    <mergeCell ref="N334:P334"/>
    <mergeCell ref="B326:H326"/>
    <mergeCell ref="I326:R326"/>
    <mergeCell ref="S326:V326"/>
    <mergeCell ref="C332:E332"/>
    <mergeCell ref="G332:L332"/>
    <mergeCell ref="N332:U332"/>
    <mergeCell ref="B323:V323"/>
    <mergeCell ref="B324:H324"/>
    <mergeCell ref="I324:R324"/>
    <mergeCell ref="S324:V324"/>
    <mergeCell ref="B325:G325"/>
    <mergeCell ref="H325:L325"/>
    <mergeCell ref="M325:O325"/>
    <mergeCell ref="P325:R325"/>
    <mergeCell ref="S325:V325"/>
    <mergeCell ref="D321:I321"/>
    <mergeCell ref="J321:K321"/>
    <mergeCell ref="L321:N321"/>
    <mergeCell ref="O321:R321"/>
    <mergeCell ref="S321:V321"/>
    <mergeCell ref="B322:H322"/>
    <mergeCell ref="I322:R322"/>
    <mergeCell ref="S322:V322"/>
    <mergeCell ref="R319:S319"/>
    <mergeCell ref="B320:C320"/>
    <mergeCell ref="D320:I320"/>
    <mergeCell ref="J320:K320"/>
    <mergeCell ref="L320:N320"/>
    <mergeCell ref="O320:R320"/>
    <mergeCell ref="S320:V320"/>
    <mergeCell ref="C318:D319"/>
    <mergeCell ref="E318:J319"/>
    <mergeCell ref="K318:L318"/>
    <mergeCell ref="N318:P318"/>
    <mergeCell ref="K319:L319"/>
    <mergeCell ref="N319:P319"/>
    <mergeCell ref="B312:H312"/>
    <mergeCell ref="I312:R312"/>
    <mergeCell ref="S312:V312"/>
    <mergeCell ref="C317:E317"/>
    <mergeCell ref="G317:L317"/>
    <mergeCell ref="N317:U317"/>
    <mergeCell ref="B309:V309"/>
    <mergeCell ref="B310:H310"/>
    <mergeCell ref="I310:R310"/>
    <mergeCell ref="S310:V310"/>
    <mergeCell ref="B311:G311"/>
    <mergeCell ref="H311:L311"/>
    <mergeCell ref="M311:O311"/>
    <mergeCell ref="P311:R311"/>
    <mergeCell ref="S311:V311"/>
    <mergeCell ref="D307:I307"/>
    <mergeCell ref="J307:K307"/>
    <mergeCell ref="L307:N307"/>
    <mergeCell ref="O307:R307"/>
    <mergeCell ref="S307:V307"/>
    <mergeCell ref="B308:H308"/>
    <mergeCell ref="I308:R308"/>
    <mergeCell ref="S308:V308"/>
    <mergeCell ref="D305:I305"/>
    <mergeCell ref="J305:K305"/>
    <mergeCell ref="L305:N305"/>
    <mergeCell ref="O305:R305"/>
    <mergeCell ref="S305:V305"/>
    <mergeCell ref="D306:I306"/>
    <mergeCell ref="J306:K306"/>
    <mergeCell ref="L306:N306"/>
    <mergeCell ref="O306:R306"/>
    <mergeCell ref="S306:V306"/>
    <mergeCell ref="D303:I303"/>
    <mergeCell ref="J303:K303"/>
    <mergeCell ref="L303:N303"/>
    <mergeCell ref="O303:R303"/>
    <mergeCell ref="S303:V303"/>
    <mergeCell ref="D304:I304"/>
    <mergeCell ref="J304:K304"/>
    <mergeCell ref="L304:N304"/>
    <mergeCell ref="O304:R304"/>
    <mergeCell ref="S304:V304"/>
    <mergeCell ref="D301:I301"/>
    <mergeCell ref="J301:K301"/>
    <mergeCell ref="L301:N301"/>
    <mergeCell ref="O301:R301"/>
    <mergeCell ref="S301:V301"/>
    <mergeCell ref="D302:I302"/>
    <mergeCell ref="J302:K302"/>
    <mergeCell ref="L302:N302"/>
    <mergeCell ref="O302:R302"/>
    <mergeCell ref="S302:V302"/>
    <mergeCell ref="D299:I299"/>
    <mergeCell ref="J299:K299"/>
    <mergeCell ref="L299:N299"/>
    <mergeCell ref="O299:R299"/>
    <mergeCell ref="S299:V299"/>
    <mergeCell ref="D300:I300"/>
    <mergeCell ref="J300:K300"/>
    <mergeCell ref="L300:N300"/>
    <mergeCell ref="O300:R300"/>
    <mergeCell ref="S300:V300"/>
    <mergeCell ref="D297:I297"/>
    <mergeCell ref="J297:K297"/>
    <mergeCell ref="L297:N297"/>
    <mergeCell ref="O297:R297"/>
    <mergeCell ref="S297:V297"/>
    <mergeCell ref="D298:I298"/>
    <mergeCell ref="J298:K298"/>
    <mergeCell ref="L298:N298"/>
    <mergeCell ref="O298:R298"/>
    <mergeCell ref="S298:V298"/>
    <mergeCell ref="R295:S295"/>
    <mergeCell ref="B296:C296"/>
    <mergeCell ref="D296:I296"/>
    <mergeCell ref="J296:K296"/>
    <mergeCell ref="L296:N296"/>
    <mergeCell ref="O296:R296"/>
    <mergeCell ref="S296:V296"/>
    <mergeCell ref="C294:D295"/>
    <mergeCell ref="E294:J295"/>
    <mergeCell ref="K294:L294"/>
    <mergeCell ref="N294:P294"/>
    <mergeCell ref="K295:L295"/>
    <mergeCell ref="N295:P295"/>
    <mergeCell ref="B288:H288"/>
    <mergeCell ref="I288:R288"/>
    <mergeCell ref="S288:V288"/>
    <mergeCell ref="C293:E293"/>
    <mergeCell ref="G293:L293"/>
    <mergeCell ref="N293:U293"/>
    <mergeCell ref="B285:V285"/>
    <mergeCell ref="B286:H286"/>
    <mergeCell ref="I286:R286"/>
    <mergeCell ref="S286:V286"/>
    <mergeCell ref="B287:G287"/>
    <mergeCell ref="H287:L287"/>
    <mergeCell ref="M287:O287"/>
    <mergeCell ref="P287:R287"/>
    <mergeCell ref="S287:V287"/>
    <mergeCell ref="D283:I283"/>
    <mergeCell ref="J283:K283"/>
    <mergeCell ref="L283:N283"/>
    <mergeCell ref="O283:R283"/>
    <mergeCell ref="S283:V283"/>
    <mergeCell ref="B284:H284"/>
    <mergeCell ref="I284:R284"/>
    <mergeCell ref="S284:V284"/>
    <mergeCell ref="D281:I281"/>
    <mergeCell ref="J281:K281"/>
    <mergeCell ref="L281:N281"/>
    <mergeCell ref="O281:R281"/>
    <mergeCell ref="S281:V281"/>
    <mergeCell ref="D282:I282"/>
    <mergeCell ref="J282:K282"/>
    <mergeCell ref="L282:N282"/>
    <mergeCell ref="O282:R282"/>
    <mergeCell ref="S282:V282"/>
    <mergeCell ref="D279:I279"/>
    <mergeCell ref="J279:K279"/>
    <mergeCell ref="L279:N279"/>
    <mergeCell ref="O279:R279"/>
    <mergeCell ref="S279:V279"/>
    <mergeCell ref="D280:I280"/>
    <mergeCell ref="J280:K280"/>
    <mergeCell ref="L280:N280"/>
    <mergeCell ref="O280:R280"/>
    <mergeCell ref="S280:V280"/>
    <mergeCell ref="B278:C278"/>
    <mergeCell ref="D278:I278"/>
    <mergeCell ref="J278:K278"/>
    <mergeCell ref="L278:N278"/>
    <mergeCell ref="O278:R278"/>
    <mergeCell ref="S278:V278"/>
    <mergeCell ref="C275:E275"/>
    <mergeCell ref="G275:L275"/>
    <mergeCell ref="N275:U275"/>
    <mergeCell ref="C276:D277"/>
    <mergeCell ref="E276:J277"/>
    <mergeCell ref="K276:L276"/>
    <mergeCell ref="N276:P276"/>
    <mergeCell ref="K277:L277"/>
    <mergeCell ref="N277:P277"/>
    <mergeCell ref="R277:S277"/>
    <mergeCell ref="B269:G269"/>
    <mergeCell ref="H269:L269"/>
    <mergeCell ref="M269:O269"/>
    <mergeCell ref="P269:R269"/>
    <mergeCell ref="S269:V269"/>
    <mergeCell ref="B270:H270"/>
    <mergeCell ref="I270:R270"/>
    <mergeCell ref="S270:V270"/>
    <mergeCell ref="B266:H266"/>
    <mergeCell ref="I266:R266"/>
    <mergeCell ref="S266:V266"/>
    <mergeCell ref="B267:V267"/>
    <mergeCell ref="B268:H268"/>
    <mergeCell ref="I268:R268"/>
    <mergeCell ref="S268:V268"/>
    <mergeCell ref="D264:I264"/>
    <mergeCell ref="J264:K264"/>
    <mergeCell ref="L264:N264"/>
    <mergeCell ref="O264:R264"/>
    <mergeCell ref="S264:V264"/>
    <mergeCell ref="D265:I265"/>
    <mergeCell ref="J265:K265"/>
    <mergeCell ref="L265:N265"/>
    <mergeCell ref="O265:R265"/>
    <mergeCell ref="S265:V265"/>
    <mergeCell ref="D262:I262"/>
    <mergeCell ref="J262:K262"/>
    <mergeCell ref="L262:N262"/>
    <mergeCell ref="O262:R262"/>
    <mergeCell ref="S262:V262"/>
    <mergeCell ref="D263:I263"/>
    <mergeCell ref="J263:K263"/>
    <mergeCell ref="L263:N263"/>
    <mergeCell ref="O263:R263"/>
    <mergeCell ref="S263:V263"/>
    <mergeCell ref="D260:I260"/>
    <mergeCell ref="J260:K260"/>
    <mergeCell ref="L260:N260"/>
    <mergeCell ref="O260:R260"/>
    <mergeCell ref="S260:V260"/>
    <mergeCell ref="D261:I261"/>
    <mergeCell ref="J261:K261"/>
    <mergeCell ref="L261:N261"/>
    <mergeCell ref="O261:R261"/>
    <mergeCell ref="S261:V261"/>
    <mergeCell ref="D258:I258"/>
    <mergeCell ref="J258:K258"/>
    <mergeCell ref="L258:N258"/>
    <mergeCell ref="O258:R258"/>
    <mergeCell ref="S258:V258"/>
    <mergeCell ref="D259:I259"/>
    <mergeCell ref="J259:K259"/>
    <mergeCell ref="L259:N259"/>
    <mergeCell ref="O259:R259"/>
    <mergeCell ref="S259:V259"/>
    <mergeCell ref="R256:S256"/>
    <mergeCell ref="B257:C257"/>
    <mergeCell ref="D257:I257"/>
    <mergeCell ref="J257:K257"/>
    <mergeCell ref="L257:N257"/>
    <mergeCell ref="O257:R257"/>
    <mergeCell ref="S257:V257"/>
    <mergeCell ref="C255:D256"/>
    <mergeCell ref="E255:J256"/>
    <mergeCell ref="K255:L255"/>
    <mergeCell ref="N255:P255"/>
    <mergeCell ref="K256:L256"/>
    <mergeCell ref="N256:P256"/>
    <mergeCell ref="B250:H250"/>
    <mergeCell ref="I250:R250"/>
    <mergeCell ref="S250:V250"/>
    <mergeCell ref="C254:E254"/>
    <mergeCell ref="G254:L254"/>
    <mergeCell ref="N254:U254"/>
    <mergeCell ref="B247:V247"/>
    <mergeCell ref="B248:H248"/>
    <mergeCell ref="I248:R248"/>
    <mergeCell ref="S248:V248"/>
    <mergeCell ref="B249:G249"/>
    <mergeCell ref="H249:L249"/>
    <mergeCell ref="M249:O249"/>
    <mergeCell ref="P249:R249"/>
    <mergeCell ref="S249:V249"/>
    <mergeCell ref="D245:I245"/>
    <mergeCell ref="J245:K245"/>
    <mergeCell ref="L245:N245"/>
    <mergeCell ref="O245:R245"/>
    <mergeCell ref="S245:V245"/>
    <mergeCell ref="B246:H246"/>
    <mergeCell ref="I246:R246"/>
    <mergeCell ref="S246:V246"/>
    <mergeCell ref="D243:I243"/>
    <mergeCell ref="J243:K243"/>
    <mergeCell ref="L243:N243"/>
    <mergeCell ref="O243:R243"/>
    <mergeCell ref="S243:V243"/>
    <mergeCell ref="D244:I244"/>
    <mergeCell ref="J244:K244"/>
    <mergeCell ref="L244:N244"/>
    <mergeCell ref="O244:R244"/>
    <mergeCell ref="S244:V244"/>
    <mergeCell ref="D241:I241"/>
    <mergeCell ref="J241:K241"/>
    <mergeCell ref="L241:N241"/>
    <mergeCell ref="O241:R241"/>
    <mergeCell ref="S241:V241"/>
    <mergeCell ref="D242:I242"/>
    <mergeCell ref="J242:K242"/>
    <mergeCell ref="L242:N242"/>
    <mergeCell ref="O242:R242"/>
    <mergeCell ref="S242:V242"/>
    <mergeCell ref="D239:I239"/>
    <mergeCell ref="J239:K239"/>
    <mergeCell ref="L239:N239"/>
    <mergeCell ref="O239:R239"/>
    <mergeCell ref="S239:V239"/>
    <mergeCell ref="D240:I240"/>
    <mergeCell ref="J240:K240"/>
    <mergeCell ref="L240:N240"/>
    <mergeCell ref="O240:R240"/>
    <mergeCell ref="S240:V240"/>
    <mergeCell ref="D237:I237"/>
    <mergeCell ref="J237:K237"/>
    <mergeCell ref="L237:N237"/>
    <mergeCell ref="O237:R237"/>
    <mergeCell ref="S237:V237"/>
    <mergeCell ref="D238:I238"/>
    <mergeCell ref="J238:K238"/>
    <mergeCell ref="L238:N238"/>
    <mergeCell ref="O238:R238"/>
    <mergeCell ref="S238:V238"/>
    <mergeCell ref="D235:I235"/>
    <mergeCell ref="J235:K235"/>
    <mergeCell ref="L235:N235"/>
    <mergeCell ref="O235:R235"/>
    <mergeCell ref="S235:V235"/>
    <mergeCell ref="D236:I236"/>
    <mergeCell ref="J236:K236"/>
    <mergeCell ref="L236:N236"/>
    <mergeCell ref="O236:R236"/>
    <mergeCell ref="S236:V236"/>
    <mergeCell ref="D233:I233"/>
    <mergeCell ref="J233:K233"/>
    <mergeCell ref="L233:N233"/>
    <mergeCell ref="O233:R233"/>
    <mergeCell ref="S233:V233"/>
    <mergeCell ref="D234:I234"/>
    <mergeCell ref="J234:K234"/>
    <mergeCell ref="L234:N234"/>
    <mergeCell ref="O234:R234"/>
    <mergeCell ref="S234:V234"/>
    <mergeCell ref="B232:C232"/>
    <mergeCell ref="D232:I232"/>
    <mergeCell ref="J232:K232"/>
    <mergeCell ref="L232:N232"/>
    <mergeCell ref="O232:R232"/>
    <mergeCell ref="S232:V232"/>
    <mergeCell ref="C229:E229"/>
    <mergeCell ref="G229:L229"/>
    <mergeCell ref="N229:U229"/>
    <mergeCell ref="C230:D231"/>
    <mergeCell ref="E230:J231"/>
    <mergeCell ref="K230:L230"/>
    <mergeCell ref="N230:P230"/>
    <mergeCell ref="K231:L231"/>
    <mergeCell ref="N231:P231"/>
    <mergeCell ref="R231:S231"/>
    <mergeCell ref="B198:G198"/>
    <mergeCell ref="H198:L198"/>
    <mergeCell ref="M198:O198"/>
    <mergeCell ref="P198:R198"/>
    <mergeCell ref="S198:V198"/>
    <mergeCell ref="B199:H199"/>
    <mergeCell ref="I199:R199"/>
    <mergeCell ref="S199:V199"/>
    <mergeCell ref="C204:E204"/>
    <mergeCell ref="G204:L204"/>
    <mergeCell ref="N204:U204"/>
    <mergeCell ref="C205:D206"/>
    <mergeCell ref="E205:J206"/>
    <mergeCell ref="K205:L205"/>
    <mergeCell ref="N205:P205"/>
    <mergeCell ref="K206:L206"/>
    <mergeCell ref="B195:H195"/>
    <mergeCell ref="I195:R195"/>
    <mergeCell ref="S195:V195"/>
    <mergeCell ref="B196:V196"/>
    <mergeCell ref="B197:H197"/>
    <mergeCell ref="I197:R197"/>
    <mergeCell ref="S197:V197"/>
    <mergeCell ref="D193:I193"/>
    <mergeCell ref="J193:K193"/>
    <mergeCell ref="L193:N193"/>
    <mergeCell ref="O193:R193"/>
    <mergeCell ref="S193:V193"/>
    <mergeCell ref="D194:I194"/>
    <mergeCell ref="J194:K194"/>
    <mergeCell ref="L194:N194"/>
    <mergeCell ref="O194:R194"/>
    <mergeCell ref="S194:V194"/>
    <mergeCell ref="D191:I191"/>
    <mergeCell ref="J191:K191"/>
    <mergeCell ref="L191:N191"/>
    <mergeCell ref="O191:R191"/>
    <mergeCell ref="S191:V191"/>
    <mergeCell ref="D192:I192"/>
    <mergeCell ref="J192:K192"/>
    <mergeCell ref="L192:N192"/>
    <mergeCell ref="O192:R192"/>
    <mergeCell ref="S192:V192"/>
    <mergeCell ref="D189:I189"/>
    <mergeCell ref="J189:K189"/>
    <mergeCell ref="L189:N189"/>
    <mergeCell ref="O189:R189"/>
    <mergeCell ref="S189:V189"/>
    <mergeCell ref="D190:I190"/>
    <mergeCell ref="J190:K190"/>
    <mergeCell ref="L190:N190"/>
    <mergeCell ref="O190:R190"/>
    <mergeCell ref="S190:V190"/>
    <mergeCell ref="D187:I187"/>
    <mergeCell ref="J187:K187"/>
    <mergeCell ref="L187:N187"/>
    <mergeCell ref="O187:R187"/>
    <mergeCell ref="S187:V187"/>
    <mergeCell ref="D188:I188"/>
    <mergeCell ref="J188:K188"/>
    <mergeCell ref="L188:N188"/>
    <mergeCell ref="O188:R188"/>
    <mergeCell ref="S188:V188"/>
    <mergeCell ref="B186:C186"/>
    <mergeCell ref="D186:I186"/>
    <mergeCell ref="J186:K186"/>
    <mergeCell ref="L186:N186"/>
    <mergeCell ref="O186:R186"/>
    <mergeCell ref="S186:V186"/>
    <mergeCell ref="C183:E183"/>
    <mergeCell ref="G183:L183"/>
    <mergeCell ref="N183:U183"/>
    <mergeCell ref="C184:D185"/>
    <mergeCell ref="E184:J185"/>
    <mergeCell ref="K184:L184"/>
    <mergeCell ref="N184:P184"/>
    <mergeCell ref="K185:L185"/>
    <mergeCell ref="N185:P185"/>
    <mergeCell ref="R185:S185"/>
    <mergeCell ref="B176:G176"/>
    <mergeCell ref="H176:L176"/>
    <mergeCell ref="M176:O176"/>
    <mergeCell ref="P176:R176"/>
    <mergeCell ref="S176:V176"/>
    <mergeCell ref="B177:H177"/>
    <mergeCell ref="I177:R177"/>
    <mergeCell ref="S177:V177"/>
    <mergeCell ref="B173:H173"/>
    <mergeCell ref="I173:R173"/>
    <mergeCell ref="S173:V173"/>
    <mergeCell ref="B174:V174"/>
    <mergeCell ref="B175:H175"/>
    <mergeCell ref="I175:R175"/>
    <mergeCell ref="S175:V175"/>
    <mergeCell ref="D171:I171"/>
    <mergeCell ref="J171:K171"/>
    <mergeCell ref="L171:N171"/>
    <mergeCell ref="O171:R171"/>
    <mergeCell ref="S171:V171"/>
    <mergeCell ref="D172:I172"/>
    <mergeCell ref="J172:K172"/>
    <mergeCell ref="L172:N172"/>
    <mergeCell ref="O172:R172"/>
    <mergeCell ref="S172:V172"/>
    <mergeCell ref="B170:C170"/>
    <mergeCell ref="D170:I170"/>
    <mergeCell ref="J170:K170"/>
    <mergeCell ref="L170:N170"/>
    <mergeCell ref="O170:R170"/>
    <mergeCell ref="S170:V170"/>
    <mergeCell ref="C167:E167"/>
    <mergeCell ref="G167:L167"/>
    <mergeCell ref="N167:U167"/>
    <mergeCell ref="C168:D169"/>
    <mergeCell ref="E168:J169"/>
    <mergeCell ref="K168:L168"/>
    <mergeCell ref="N168:P168"/>
    <mergeCell ref="K169:L169"/>
    <mergeCell ref="N169:P169"/>
    <mergeCell ref="R169:S169"/>
    <mergeCell ref="B160:G160"/>
    <mergeCell ref="H160:L160"/>
    <mergeCell ref="M160:O160"/>
    <mergeCell ref="P160:R160"/>
    <mergeCell ref="S160:V160"/>
    <mergeCell ref="B161:H161"/>
    <mergeCell ref="I161:R161"/>
    <mergeCell ref="S161:V161"/>
    <mergeCell ref="B157:H157"/>
    <mergeCell ref="I157:R157"/>
    <mergeCell ref="S157:V157"/>
    <mergeCell ref="B158:V158"/>
    <mergeCell ref="B159:H159"/>
    <mergeCell ref="I159:R159"/>
    <mergeCell ref="S159:V159"/>
    <mergeCell ref="D155:I155"/>
    <mergeCell ref="J155:K155"/>
    <mergeCell ref="L155:N155"/>
    <mergeCell ref="O155:R155"/>
    <mergeCell ref="S155:V155"/>
    <mergeCell ref="D156:I156"/>
    <mergeCell ref="J156:K156"/>
    <mergeCell ref="L156:N156"/>
    <mergeCell ref="O156:R156"/>
    <mergeCell ref="S156:V156"/>
    <mergeCell ref="B154:C154"/>
    <mergeCell ref="D154:I154"/>
    <mergeCell ref="J154:K154"/>
    <mergeCell ref="L154:N154"/>
    <mergeCell ref="O154:R154"/>
    <mergeCell ref="S154:V154"/>
    <mergeCell ref="C151:E151"/>
    <mergeCell ref="G151:L151"/>
    <mergeCell ref="N151:U151"/>
    <mergeCell ref="C152:D153"/>
    <mergeCell ref="E152:J153"/>
    <mergeCell ref="K152:L152"/>
    <mergeCell ref="N152:P152"/>
    <mergeCell ref="K153:L153"/>
    <mergeCell ref="N153:P153"/>
    <mergeCell ref="R153:S153"/>
    <mergeCell ref="B144:G144"/>
    <mergeCell ref="H144:L144"/>
    <mergeCell ref="M144:O144"/>
    <mergeCell ref="P144:R144"/>
    <mergeCell ref="S144:V144"/>
    <mergeCell ref="B145:H145"/>
    <mergeCell ref="I145:R145"/>
    <mergeCell ref="S145:V145"/>
    <mergeCell ref="B141:H141"/>
    <mergeCell ref="I141:R141"/>
    <mergeCell ref="S141:V141"/>
    <mergeCell ref="B142:V142"/>
    <mergeCell ref="B143:H143"/>
    <mergeCell ref="I143:R143"/>
    <mergeCell ref="S143:V143"/>
    <mergeCell ref="D139:I139"/>
    <mergeCell ref="J139:K139"/>
    <mergeCell ref="L139:N139"/>
    <mergeCell ref="O139:R139"/>
    <mergeCell ref="S139:V139"/>
    <mergeCell ref="D140:I140"/>
    <mergeCell ref="J140:K140"/>
    <mergeCell ref="L140:N140"/>
    <mergeCell ref="O140:R140"/>
    <mergeCell ref="S140:V140"/>
    <mergeCell ref="B138:C138"/>
    <mergeCell ref="D138:I138"/>
    <mergeCell ref="J138:K138"/>
    <mergeCell ref="L138:N138"/>
    <mergeCell ref="O138:R138"/>
    <mergeCell ref="S138:V138"/>
    <mergeCell ref="C135:E135"/>
    <mergeCell ref="G135:L135"/>
    <mergeCell ref="N135:U135"/>
    <mergeCell ref="C136:D137"/>
    <mergeCell ref="E136:J137"/>
    <mergeCell ref="K136:L136"/>
    <mergeCell ref="N136:P136"/>
    <mergeCell ref="K137:L137"/>
    <mergeCell ref="N137:P137"/>
    <mergeCell ref="R137:S137"/>
    <mergeCell ref="B128:G128"/>
    <mergeCell ref="H128:L128"/>
    <mergeCell ref="M128:O128"/>
    <mergeCell ref="P128:R128"/>
    <mergeCell ref="S128:V128"/>
    <mergeCell ref="B129:H129"/>
    <mergeCell ref="I129:R129"/>
    <mergeCell ref="S129:V129"/>
    <mergeCell ref="B125:H125"/>
    <mergeCell ref="I125:R125"/>
    <mergeCell ref="S125:V125"/>
    <mergeCell ref="B126:V126"/>
    <mergeCell ref="B127:H127"/>
    <mergeCell ref="I127:R127"/>
    <mergeCell ref="S127:V127"/>
    <mergeCell ref="D123:I123"/>
    <mergeCell ref="J123:K123"/>
    <mergeCell ref="L123:N123"/>
    <mergeCell ref="O123:R123"/>
    <mergeCell ref="S123:V123"/>
    <mergeCell ref="D124:I124"/>
    <mergeCell ref="J124:K124"/>
    <mergeCell ref="L124:N124"/>
    <mergeCell ref="O124:R124"/>
    <mergeCell ref="S124:V124"/>
    <mergeCell ref="B122:C122"/>
    <mergeCell ref="D122:I122"/>
    <mergeCell ref="J122:K122"/>
    <mergeCell ref="L122:N122"/>
    <mergeCell ref="O122:R122"/>
    <mergeCell ref="S122:V122"/>
    <mergeCell ref="C119:E119"/>
    <mergeCell ref="G119:L119"/>
    <mergeCell ref="N119:U119"/>
    <mergeCell ref="C120:D121"/>
    <mergeCell ref="E120:J121"/>
    <mergeCell ref="K120:L120"/>
    <mergeCell ref="N120:P120"/>
    <mergeCell ref="K121:L121"/>
    <mergeCell ref="N121:P121"/>
    <mergeCell ref="R121:S121"/>
    <mergeCell ref="B113:G113"/>
    <mergeCell ref="H113:L113"/>
    <mergeCell ref="M113:O113"/>
    <mergeCell ref="P113:R113"/>
    <mergeCell ref="S113:V113"/>
    <mergeCell ref="B114:H114"/>
    <mergeCell ref="I114:R114"/>
    <mergeCell ref="S114:V114"/>
    <mergeCell ref="B110:H110"/>
    <mergeCell ref="I110:R110"/>
    <mergeCell ref="S110:V110"/>
    <mergeCell ref="B111:V111"/>
    <mergeCell ref="B112:H112"/>
    <mergeCell ref="I112:R112"/>
    <mergeCell ref="S112:V112"/>
    <mergeCell ref="D108:I108"/>
    <mergeCell ref="J108:K108"/>
    <mergeCell ref="L108:N108"/>
    <mergeCell ref="O108:R108"/>
    <mergeCell ref="S108:V108"/>
    <mergeCell ref="D109:I109"/>
    <mergeCell ref="J109:K109"/>
    <mergeCell ref="L109:N109"/>
    <mergeCell ref="O109:R109"/>
    <mergeCell ref="S109:V109"/>
    <mergeCell ref="D106:I106"/>
    <mergeCell ref="J106:K106"/>
    <mergeCell ref="L106:N106"/>
    <mergeCell ref="O106:R106"/>
    <mergeCell ref="S106:V106"/>
    <mergeCell ref="D107:I107"/>
    <mergeCell ref="J107:K107"/>
    <mergeCell ref="L107:N107"/>
    <mergeCell ref="O107:R107"/>
    <mergeCell ref="S107:V107"/>
    <mergeCell ref="D104:I104"/>
    <mergeCell ref="J104:K104"/>
    <mergeCell ref="L104:N104"/>
    <mergeCell ref="O104:R104"/>
    <mergeCell ref="S104:V104"/>
    <mergeCell ref="D105:I105"/>
    <mergeCell ref="J105:K105"/>
    <mergeCell ref="L105:N105"/>
    <mergeCell ref="O105:R105"/>
    <mergeCell ref="S105:V105"/>
    <mergeCell ref="D102:I102"/>
    <mergeCell ref="J102:K102"/>
    <mergeCell ref="L102:N102"/>
    <mergeCell ref="O102:R102"/>
    <mergeCell ref="S102:V102"/>
    <mergeCell ref="D103:I103"/>
    <mergeCell ref="J103:K103"/>
    <mergeCell ref="L103:N103"/>
    <mergeCell ref="O103:R103"/>
    <mergeCell ref="S103:V103"/>
    <mergeCell ref="B101:C101"/>
    <mergeCell ref="D101:I101"/>
    <mergeCell ref="J101:K101"/>
    <mergeCell ref="L101:N101"/>
    <mergeCell ref="O101:R101"/>
    <mergeCell ref="S101:V101"/>
    <mergeCell ref="C98:E98"/>
    <mergeCell ref="G98:L98"/>
    <mergeCell ref="N98:U98"/>
    <mergeCell ref="C99:D100"/>
    <mergeCell ref="E99:J100"/>
    <mergeCell ref="K99:L99"/>
    <mergeCell ref="N99:P99"/>
    <mergeCell ref="K100:L100"/>
    <mergeCell ref="N100:P100"/>
    <mergeCell ref="R100:S100"/>
    <mergeCell ref="B92:G92"/>
    <mergeCell ref="H92:L92"/>
    <mergeCell ref="M92:O92"/>
    <mergeCell ref="P92:R92"/>
    <mergeCell ref="S92:V92"/>
    <mergeCell ref="B93:H93"/>
    <mergeCell ref="I93:R93"/>
    <mergeCell ref="S93:V93"/>
    <mergeCell ref="B89:H89"/>
    <mergeCell ref="I89:R89"/>
    <mergeCell ref="S89:V89"/>
    <mergeCell ref="B90:V90"/>
    <mergeCell ref="B91:H91"/>
    <mergeCell ref="I91:R91"/>
    <mergeCell ref="S91:V91"/>
    <mergeCell ref="D87:I87"/>
    <mergeCell ref="J87:K87"/>
    <mergeCell ref="L87:N87"/>
    <mergeCell ref="O87:R87"/>
    <mergeCell ref="S87:V87"/>
    <mergeCell ref="D88:I88"/>
    <mergeCell ref="J88:K88"/>
    <mergeCell ref="L88:N88"/>
    <mergeCell ref="O88:R88"/>
    <mergeCell ref="S88:V88"/>
    <mergeCell ref="D85:I85"/>
    <mergeCell ref="J85:K85"/>
    <mergeCell ref="L85:N85"/>
    <mergeCell ref="O85:R85"/>
    <mergeCell ref="S85:V85"/>
    <mergeCell ref="D86:I86"/>
    <mergeCell ref="J86:K86"/>
    <mergeCell ref="L86:N86"/>
    <mergeCell ref="O86:R86"/>
    <mergeCell ref="S86:V86"/>
    <mergeCell ref="D83:I83"/>
    <mergeCell ref="J83:K83"/>
    <mergeCell ref="L83:N83"/>
    <mergeCell ref="O83:R83"/>
    <mergeCell ref="S83:V83"/>
    <mergeCell ref="D84:I84"/>
    <mergeCell ref="J84:K84"/>
    <mergeCell ref="L84:N84"/>
    <mergeCell ref="O84:R84"/>
    <mergeCell ref="S84:V84"/>
    <mergeCell ref="D81:I81"/>
    <mergeCell ref="J81:K81"/>
    <mergeCell ref="L81:N81"/>
    <mergeCell ref="O81:R81"/>
    <mergeCell ref="S81:V81"/>
    <mergeCell ref="D82:I82"/>
    <mergeCell ref="J82:K82"/>
    <mergeCell ref="L82:N82"/>
    <mergeCell ref="O82:R82"/>
    <mergeCell ref="S82:V82"/>
    <mergeCell ref="R79:S79"/>
    <mergeCell ref="B80:C80"/>
    <mergeCell ref="D80:I80"/>
    <mergeCell ref="J80:K80"/>
    <mergeCell ref="L80:N80"/>
    <mergeCell ref="O80:R80"/>
    <mergeCell ref="S80:V80"/>
    <mergeCell ref="C78:D79"/>
    <mergeCell ref="E78:J79"/>
    <mergeCell ref="K78:L78"/>
    <mergeCell ref="N78:P78"/>
    <mergeCell ref="K79:L79"/>
    <mergeCell ref="N79:P79"/>
    <mergeCell ref="B72:H72"/>
    <mergeCell ref="I72:R72"/>
    <mergeCell ref="S72:V72"/>
    <mergeCell ref="C77:E77"/>
    <mergeCell ref="G77:L77"/>
    <mergeCell ref="N77:U77"/>
    <mergeCell ref="B69:V69"/>
    <mergeCell ref="B70:H70"/>
    <mergeCell ref="I70:R70"/>
    <mergeCell ref="S70:V70"/>
    <mergeCell ref="B71:G71"/>
    <mergeCell ref="H71:L71"/>
    <mergeCell ref="M71:O71"/>
    <mergeCell ref="P71:R71"/>
    <mergeCell ref="S71:V71"/>
    <mergeCell ref="D67:I67"/>
    <mergeCell ref="J67:K67"/>
    <mergeCell ref="L67:N67"/>
    <mergeCell ref="O67:R67"/>
    <mergeCell ref="S67:V67"/>
    <mergeCell ref="B68:H68"/>
    <mergeCell ref="I68:R68"/>
    <mergeCell ref="S68:V68"/>
    <mergeCell ref="D65:I65"/>
    <mergeCell ref="J65:K65"/>
    <mergeCell ref="L65:N65"/>
    <mergeCell ref="O65:R65"/>
    <mergeCell ref="S65:V65"/>
    <mergeCell ref="D66:I66"/>
    <mergeCell ref="J66:K66"/>
    <mergeCell ref="L66:N66"/>
    <mergeCell ref="O66:R66"/>
    <mergeCell ref="S66:V66"/>
    <mergeCell ref="D63:I63"/>
    <mergeCell ref="J63:K63"/>
    <mergeCell ref="L63:N63"/>
    <mergeCell ref="O63:R63"/>
    <mergeCell ref="S63:V63"/>
    <mergeCell ref="D64:I64"/>
    <mergeCell ref="J64:K64"/>
    <mergeCell ref="L64:N64"/>
    <mergeCell ref="O64:R64"/>
    <mergeCell ref="S64:V64"/>
    <mergeCell ref="D61:I61"/>
    <mergeCell ref="J61:K61"/>
    <mergeCell ref="L61:N61"/>
    <mergeCell ref="O61:R61"/>
    <mergeCell ref="S61:V61"/>
    <mergeCell ref="D62:I62"/>
    <mergeCell ref="J62:K62"/>
    <mergeCell ref="L62:N62"/>
    <mergeCell ref="O62:R62"/>
    <mergeCell ref="S62:V62"/>
    <mergeCell ref="R59:S59"/>
    <mergeCell ref="B60:C60"/>
    <mergeCell ref="D60:I60"/>
    <mergeCell ref="J60:K60"/>
    <mergeCell ref="L60:N60"/>
    <mergeCell ref="O60:R60"/>
    <mergeCell ref="S60:V60"/>
    <mergeCell ref="C58:D59"/>
    <mergeCell ref="E58:J59"/>
    <mergeCell ref="K58:L58"/>
    <mergeCell ref="N58:P58"/>
    <mergeCell ref="K59:L59"/>
    <mergeCell ref="N59:P59"/>
    <mergeCell ref="B52:H52"/>
    <mergeCell ref="I52:R52"/>
    <mergeCell ref="S52:V52"/>
    <mergeCell ref="C57:E57"/>
    <mergeCell ref="G57:L57"/>
    <mergeCell ref="N57:U57"/>
    <mergeCell ref="B49:V49"/>
    <mergeCell ref="B50:H50"/>
    <mergeCell ref="I50:R50"/>
    <mergeCell ref="S50:V50"/>
    <mergeCell ref="B51:G51"/>
    <mergeCell ref="H51:L51"/>
    <mergeCell ref="M51:O51"/>
    <mergeCell ref="P51:R51"/>
    <mergeCell ref="S51:V51"/>
    <mergeCell ref="D47:I47"/>
    <mergeCell ref="J47:K47"/>
    <mergeCell ref="L47:N47"/>
    <mergeCell ref="O47:R47"/>
    <mergeCell ref="S47:V47"/>
    <mergeCell ref="B48:H48"/>
    <mergeCell ref="I48:R48"/>
    <mergeCell ref="S48:V48"/>
    <mergeCell ref="D45:I45"/>
    <mergeCell ref="J45:K45"/>
    <mergeCell ref="L45:N45"/>
    <mergeCell ref="O45:R45"/>
    <mergeCell ref="S45:V45"/>
    <mergeCell ref="D46:I46"/>
    <mergeCell ref="J46:K46"/>
    <mergeCell ref="L46:N46"/>
    <mergeCell ref="O46:R46"/>
    <mergeCell ref="S46:V46"/>
    <mergeCell ref="D43:I43"/>
    <mergeCell ref="J43:K43"/>
    <mergeCell ref="L43:N43"/>
    <mergeCell ref="O43:R43"/>
    <mergeCell ref="S43:V43"/>
    <mergeCell ref="D44:I44"/>
    <mergeCell ref="J44:K44"/>
    <mergeCell ref="L44:N44"/>
    <mergeCell ref="O44:R44"/>
    <mergeCell ref="S44:V44"/>
    <mergeCell ref="D41:I41"/>
    <mergeCell ref="J41:K41"/>
    <mergeCell ref="L41:N41"/>
    <mergeCell ref="O41:R41"/>
    <mergeCell ref="S41:V41"/>
    <mergeCell ref="D42:I42"/>
    <mergeCell ref="J42:K42"/>
    <mergeCell ref="L42:N42"/>
    <mergeCell ref="O42:R42"/>
    <mergeCell ref="S42:V42"/>
    <mergeCell ref="R39:S39"/>
    <mergeCell ref="B40:C40"/>
    <mergeCell ref="D40:I40"/>
    <mergeCell ref="J40:K40"/>
    <mergeCell ref="L40:N40"/>
    <mergeCell ref="O40:R40"/>
    <mergeCell ref="S40:V40"/>
    <mergeCell ref="C38:D39"/>
    <mergeCell ref="E38:J39"/>
    <mergeCell ref="K38:L38"/>
    <mergeCell ref="N38:P38"/>
    <mergeCell ref="K39:L39"/>
    <mergeCell ref="N39:P39"/>
    <mergeCell ref="B31:H31"/>
    <mergeCell ref="I31:R31"/>
    <mergeCell ref="S31:V31"/>
    <mergeCell ref="C37:E37"/>
    <mergeCell ref="G37:L37"/>
    <mergeCell ref="N37:U37"/>
    <mergeCell ref="B28:V28"/>
    <mergeCell ref="B29:H29"/>
    <mergeCell ref="I29:R29"/>
    <mergeCell ref="S29:V29"/>
    <mergeCell ref="B30:G30"/>
    <mergeCell ref="H30:L30"/>
    <mergeCell ref="M30:O30"/>
    <mergeCell ref="P30:R30"/>
    <mergeCell ref="S30:V30"/>
    <mergeCell ref="D26:I26"/>
    <mergeCell ref="J26:K26"/>
    <mergeCell ref="L26:N26"/>
    <mergeCell ref="O26:R26"/>
    <mergeCell ref="S26:V26"/>
    <mergeCell ref="B27:H27"/>
    <mergeCell ref="I27:R27"/>
    <mergeCell ref="S27:V27"/>
    <mergeCell ref="B16:G16"/>
    <mergeCell ref="H16:L16"/>
    <mergeCell ref="M16:O16"/>
    <mergeCell ref="P16:R16"/>
    <mergeCell ref="S16:V16"/>
    <mergeCell ref="D12:I12"/>
    <mergeCell ref="J12:K12"/>
    <mergeCell ref="L12:N12"/>
    <mergeCell ref="O12:R12"/>
    <mergeCell ref="S12:V12"/>
    <mergeCell ref="B13:H13"/>
    <mergeCell ref="I13:R13"/>
    <mergeCell ref="S13:V13"/>
    <mergeCell ref="R24:S24"/>
    <mergeCell ref="B25:C25"/>
    <mergeCell ref="D25:I25"/>
    <mergeCell ref="J25:K25"/>
    <mergeCell ref="L25:N25"/>
    <mergeCell ref="O25:R25"/>
    <mergeCell ref="S25:V25"/>
    <mergeCell ref="C23:D24"/>
    <mergeCell ref="E23:J24"/>
    <mergeCell ref="K23:L23"/>
    <mergeCell ref="N23:P23"/>
    <mergeCell ref="K24:L24"/>
    <mergeCell ref="N24:P24"/>
    <mergeCell ref="B17:H17"/>
    <mergeCell ref="I17:R17"/>
    <mergeCell ref="S17:V17"/>
    <mergeCell ref="C22:E22"/>
    <mergeCell ref="G22:L22"/>
    <mergeCell ref="N22:U22"/>
    <mergeCell ref="B5:C5"/>
    <mergeCell ref="D5:I5"/>
    <mergeCell ref="J5:K5"/>
    <mergeCell ref="L5:N5"/>
    <mergeCell ref="O5:R5"/>
    <mergeCell ref="S5:V5"/>
    <mergeCell ref="C2:E2"/>
    <mergeCell ref="G2:L2"/>
    <mergeCell ref="N2:U2"/>
    <mergeCell ref="C3:D4"/>
    <mergeCell ref="E3:J4"/>
    <mergeCell ref="K3:L3"/>
    <mergeCell ref="N3:P3"/>
    <mergeCell ref="K4:L4"/>
    <mergeCell ref="N4:P4"/>
    <mergeCell ref="R4:S4"/>
    <mergeCell ref="D10:I10"/>
    <mergeCell ref="J10:K10"/>
    <mergeCell ref="L10:N10"/>
    <mergeCell ref="O10:R10"/>
    <mergeCell ref="S10:V10"/>
    <mergeCell ref="D8:I8"/>
    <mergeCell ref="J8:K8"/>
    <mergeCell ref="L8:N8"/>
    <mergeCell ref="O8:R8"/>
    <mergeCell ref="S8:V8"/>
    <mergeCell ref="D9:I9"/>
    <mergeCell ref="J9:K9"/>
    <mergeCell ref="L9:N9"/>
    <mergeCell ref="O9:R9"/>
    <mergeCell ref="S9:V9"/>
    <mergeCell ref="S482:V482"/>
    <mergeCell ref="B493:H493"/>
    <mergeCell ref="I493:R493"/>
    <mergeCell ref="B494:V494"/>
    <mergeCell ref="B495:H495"/>
    <mergeCell ref="I495:R495"/>
    <mergeCell ref="B496:G496"/>
    <mergeCell ref="H496:L496"/>
    <mergeCell ref="M496:O496"/>
    <mergeCell ref="P496:R496"/>
    <mergeCell ref="B497:H497"/>
    <mergeCell ref="I497:R497"/>
    <mergeCell ref="S497:V497"/>
    <mergeCell ref="D6:I6"/>
    <mergeCell ref="J6:K6"/>
    <mergeCell ref="L6:N6"/>
    <mergeCell ref="O6:R6"/>
    <mergeCell ref="S6:V6"/>
    <mergeCell ref="D7:I7"/>
    <mergeCell ref="J7:K7"/>
    <mergeCell ref="L7:N7"/>
    <mergeCell ref="O7:R7"/>
    <mergeCell ref="S7:V7"/>
    <mergeCell ref="D11:I11"/>
    <mergeCell ref="J11:K11"/>
    <mergeCell ref="L11:N11"/>
    <mergeCell ref="O11:R11"/>
    <mergeCell ref="S11:V11"/>
    <mergeCell ref="B14:V14"/>
    <mergeCell ref="B15:H15"/>
    <mergeCell ref="I15:R15"/>
    <mergeCell ref="S15:V1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0" zoomScale="115" zoomScaleNormal="115" workbookViewId="0">
      <selection activeCell="J10" sqref="J10"/>
    </sheetView>
  </sheetViews>
  <sheetFormatPr defaultColWidth="9.140625" defaultRowHeight="12.75"/>
  <cols>
    <col min="1" max="1" width="8.140625" style="433" customWidth="1"/>
    <col min="2" max="2" width="13.85546875" style="433" customWidth="1"/>
    <col min="3" max="3" width="16" style="433" customWidth="1"/>
    <col min="4" max="4" width="10" style="433" bestFit="1" customWidth="1"/>
    <col min="5" max="5" width="15.42578125" style="433" customWidth="1"/>
    <col min="6" max="6" width="8.28515625" style="433" customWidth="1"/>
    <col min="7" max="7" width="6.7109375" style="433" bestFit="1" customWidth="1"/>
    <col min="8" max="8" width="1" style="433" customWidth="1"/>
    <col min="9" max="9" width="18.140625" style="433" customWidth="1"/>
    <col min="10" max="10" width="12.7109375" style="433" customWidth="1"/>
    <col min="11" max="11" width="5.7109375" style="433" customWidth="1"/>
    <col min="12" max="16384" width="9.140625" style="434"/>
  </cols>
  <sheetData>
    <row r="1" spans="1:11">
      <c r="C1" s="437"/>
    </row>
    <row r="2" spans="1:11">
      <c r="B2" s="438" t="s">
        <v>591</v>
      </c>
      <c r="C2" s="438"/>
      <c r="D2" s="438"/>
      <c r="E2" s="438"/>
      <c r="F2" s="438"/>
      <c r="G2" s="438"/>
      <c r="H2" s="438"/>
      <c r="I2" s="438"/>
      <c r="J2" s="438"/>
    </row>
    <row r="3" spans="1:11">
      <c r="B3" s="438"/>
      <c r="C3" s="438"/>
      <c r="D3" s="438"/>
      <c r="E3" s="438"/>
      <c r="F3" s="438"/>
      <c r="G3" s="438"/>
      <c r="H3" s="438"/>
      <c r="I3" s="438"/>
      <c r="J3" s="438"/>
    </row>
    <row r="4" spans="1:11">
      <c r="B4" s="438" t="s">
        <v>592</v>
      </c>
      <c r="C4" s="439"/>
      <c r="D4" s="433" t="s">
        <v>593</v>
      </c>
      <c r="E4" s="440" t="s">
        <v>594</v>
      </c>
      <c r="F4" s="439"/>
      <c r="G4" s="439"/>
      <c r="H4" s="439"/>
    </row>
    <row r="5" spans="1:11">
      <c r="B5" s="438"/>
      <c r="C5" s="439"/>
      <c r="E5" s="440" t="s">
        <v>595</v>
      </c>
      <c r="F5" s="439"/>
      <c r="G5" s="439"/>
      <c r="H5" s="439"/>
    </row>
    <row r="6" spans="1:11">
      <c r="C6" s="441"/>
      <c r="K6" s="435"/>
    </row>
    <row r="7" spans="1:11">
      <c r="B7" s="442" t="s">
        <v>596</v>
      </c>
      <c r="C7" s="443" t="s">
        <v>600</v>
      </c>
      <c r="D7" s="443"/>
      <c r="E7" s="443" t="s">
        <v>818</v>
      </c>
      <c r="F7" s="444"/>
      <c r="G7" s="444"/>
      <c r="H7" s="445"/>
      <c r="I7" s="446" t="s">
        <v>597</v>
      </c>
      <c r="K7" s="435"/>
    </row>
    <row r="8" spans="1:11">
      <c r="B8" s="447" t="s">
        <v>598</v>
      </c>
      <c r="C8" s="448">
        <v>340.976</v>
      </c>
      <c r="D8" s="448"/>
      <c r="E8" s="448">
        <v>456.17099999999999</v>
      </c>
      <c r="F8" s="449"/>
      <c r="G8" s="449"/>
      <c r="H8" s="450"/>
      <c r="I8" s="451">
        <f>TRUNC((E8-C8)/C8+1,4)</f>
        <v>1.3378000000000001</v>
      </c>
      <c r="K8" s="435"/>
    </row>
    <row r="9" spans="1:11">
      <c r="B9" s="452"/>
      <c r="C9" s="453"/>
      <c r="D9" s="453"/>
      <c r="E9" s="453"/>
      <c r="F9" s="454"/>
      <c r="G9" s="453"/>
      <c r="H9" s="453"/>
      <c r="I9" s="455"/>
      <c r="K9" s="435"/>
    </row>
    <row r="10" spans="1:11">
      <c r="B10" s="452"/>
      <c r="C10" s="453"/>
      <c r="D10" s="453"/>
      <c r="E10" s="453"/>
      <c r="F10" s="453"/>
      <c r="G10" s="453"/>
      <c r="H10" s="453"/>
      <c r="I10" s="455"/>
      <c r="K10" s="435"/>
    </row>
    <row r="11" spans="1:11">
      <c r="A11" s="436"/>
      <c r="B11" s="456" t="s">
        <v>599</v>
      </c>
      <c r="C11" s="457"/>
      <c r="D11" s="457"/>
      <c r="E11" s="457"/>
      <c r="F11" s="457"/>
      <c r="G11" s="457"/>
      <c r="H11" s="457"/>
      <c r="I11" s="458">
        <f>I8</f>
        <v>1.3378000000000001</v>
      </c>
      <c r="J11" s="436"/>
      <c r="K11" s="459"/>
    </row>
    <row r="12" spans="1:11">
      <c r="A12" s="436"/>
      <c r="B12" s="459"/>
      <c r="C12" s="460"/>
      <c r="D12" s="460"/>
      <c r="E12" s="460"/>
      <c r="F12" s="460"/>
      <c r="G12" s="460"/>
      <c r="H12" s="460"/>
      <c r="I12" s="461"/>
      <c r="J12" s="436"/>
      <c r="K12" s="459"/>
    </row>
    <row r="13" spans="1:11">
      <c r="A13" s="436"/>
      <c r="B13" s="456" t="s">
        <v>601</v>
      </c>
      <c r="C13" s="457"/>
      <c r="D13" s="457"/>
      <c r="E13" s="457"/>
      <c r="F13" s="457"/>
      <c r="G13" s="457"/>
      <c r="H13" s="457"/>
      <c r="I13" s="462">
        <v>121.06</v>
      </c>
      <c r="J13" s="462">
        <f>ROUND(I13*$I$11,2)</f>
        <v>161.94999999999999</v>
      </c>
      <c r="K13" s="463" t="s">
        <v>602</v>
      </c>
    </row>
    <row r="14" spans="1:11">
      <c r="A14" s="436"/>
      <c r="B14" s="459"/>
      <c r="C14" s="460"/>
      <c r="D14" s="460"/>
      <c r="E14" s="460"/>
      <c r="F14" s="460"/>
      <c r="G14" s="460"/>
      <c r="H14" s="460"/>
      <c r="I14" s="461"/>
      <c r="J14" s="436"/>
      <c r="K14" s="463"/>
    </row>
    <row r="15" spans="1:11">
      <c r="A15" s="436"/>
      <c r="B15" s="456" t="s">
        <v>601</v>
      </c>
      <c r="C15" s="457"/>
      <c r="D15" s="457"/>
      <c r="E15" s="457"/>
      <c r="F15" s="457"/>
      <c r="G15" s="457"/>
      <c r="H15" s="457"/>
      <c r="I15" s="462">
        <v>75.67</v>
      </c>
      <c r="J15" s="462">
        <f>ROUND(I15*$I$11,2)</f>
        <v>101.23</v>
      </c>
      <c r="K15" s="463" t="s">
        <v>603</v>
      </c>
    </row>
    <row r="16" spans="1:11">
      <c r="A16" s="436"/>
      <c r="B16" s="459"/>
      <c r="C16" s="460"/>
      <c r="D16" s="460"/>
      <c r="E16" s="460"/>
      <c r="F16" s="460"/>
      <c r="G16" s="460"/>
      <c r="H16" s="460"/>
      <c r="I16" s="461"/>
      <c r="J16" s="436"/>
      <c r="K16" s="463"/>
    </row>
    <row r="17" spans="2:11">
      <c r="B17" s="456" t="s">
        <v>601</v>
      </c>
      <c r="C17" s="457"/>
      <c r="D17" s="457"/>
      <c r="E17" s="457"/>
      <c r="F17" s="457"/>
      <c r="G17" s="457"/>
      <c r="H17" s="457"/>
      <c r="I17" s="462">
        <v>68.09</v>
      </c>
      <c r="J17" s="462">
        <f>ROUND(I17*$I$11,2)</f>
        <v>91.09</v>
      </c>
      <c r="K17" s="463" t="s">
        <v>604</v>
      </c>
    </row>
    <row r="18" spans="2:11">
      <c r="B18" s="452"/>
      <c r="C18" s="453"/>
      <c r="D18" s="453"/>
      <c r="E18" s="453"/>
      <c r="F18" s="453"/>
      <c r="G18" s="453"/>
      <c r="H18" s="453"/>
      <c r="I18" s="455"/>
      <c r="K18" s="463"/>
    </row>
    <row r="19" spans="2:11">
      <c r="B19" s="456" t="s">
        <v>601</v>
      </c>
      <c r="C19" s="457"/>
      <c r="D19" s="457"/>
      <c r="E19" s="457"/>
      <c r="F19" s="457"/>
      <c r="G19" s="457"/>
      <c r="H19" s="457"/>
      <c r="I19" s="462">
        <v>143.76</v>
      </c>
      <c r="J19" s="462">
        <f>ROUND(I19*$I$11,2)</f>
        <v>192.32</v>
      </c>
      <c r="K19" s="463" t="s">
        <v>605</v>
      </c>
    </row>
    <row r="20" spans="2:11">
      <c r="K20" s="463"/>
    </row>
    <row r="21" spans="2:11">
      <c r="B21" s="456" t="s">
        <v>601</v>
      </c>
      <c r="C21" s="457"/>
      <c r="D21" s="457"/>
      <c r="E21" s="457"/>
      <c r="F21" s="457"/>
      <c r="G21" s="457"/>
      <c r="H21" s="457"/>
      <c r="I21" s="462">
        <v>60.52</v>
      </c>
      <c r="J21" s="462">
        <f>ROUND(I21*$I$11,2)</f>
        <v>80.959999999999994</v>
      </c>
      <c r="K21" s="463" t="s">
        <v>606</v>
      </c>
    </row>
    <row r="22" spans="2:11">
      <c r="K22" s="463"/>
    </row>
    <row r="23" spans="2:11">
      <c r="B23" s="456" t="s">
        <v>601</v>
      </c>
      <c r="C23" s="457"/>
      <c r="D23" s="457"/>
      <c r="E23" s="457"/>
      <c r="F23" s="457"/>
      <c r="G23" s="457"/>
      <c r="H23" s="457"/>
      <c r="I23" s="462">
        <v>174.03</v>
      </c>
      <c r="J23" s="462">
        <f>ROUND(I23*$I$11,2)</f>
        <v>232.82</v>
      </c>
      <c r="K23" s="463" t="s">
        <v>607</v>
      </c>
    </row>
    <row r="24" spans="2:11">
      <c r="K24" s="463"/>
    </row>
    <row r="25" spans="2:11">
      <c r="B25" s="456" t="s">
        <v>601</v>
      </c>
      <c r="C25" s="457"/>
      <c r="D25" s="457"/>
      <c r="E25" s="457"/>
      <c r="F25" s="457"/>
      <c r="G25" s="457"/>
      <c r="H25" s="457"/>
      <c r="I25" s="462">
        <v>45.39</v>
      </c>
      <c r="J25" s="462">
        <f>ROUND(I25*$I$11,2)</f>
        <v>60.72</v>
      </c>
      <c r="K25" s="463" t="s">
        <v>608</v>
      </c>
    </row>
    <row r="27" spans="2:11">
      <c r="B27" s="456" t="s">
        <v>601</v>
      </c>
      <c r="C27" s="457"/>
      <c r="D27" s="457"/>
      <c r="E27" s="457"/>
      <c r="F27" s="457"/>
      <c r="G27" s="457"/>
      <c r="H27" s="457"/>
      <c r="I27" s="462">
        <v>68.09</v>
      </c>
      <c r="J27" s="462">
        <f>ROUND(I27*$I$11,2)</f>
        <v>91.09</v>
      </c>
      <c r="K27" s="433" t="s">
        <v>609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M103"/>
  <sheetViews>
    <sheetView topLeftCell="A46" zoomScale="85" zoomScaleNormal="85" zoomScaleSheetLayoutView="100" workbookViewId="0">
      <selection activeCell="P19" sqref="P19"/>
    </sheetView>
  </sheetViews>
  <sheetFormatPr defaultColWidth="9.140625" defaultRowHeight="12.75"/>
  <cols>
    <col min="1" max="1" width="3.85546875" style="55" customWidth="1"/>
    <col min="2" max="2" width="7.140625" style="55" customWidth="1"/>
    <col min="3" max="3" width="11.28515625" style="314" customWidth="1"/>
    <col min="4" max="4" width="11.85546875" style="55" customWidth="1"/>
    <col min="5" max="5" width="79.42578125" style="55" customWidth="1"/>
    <col min="6" max="6" width="9.5703125" style="55" customWidth="1"/>
    <col min="7" max="7" width="14.140625" style="55" bestFit="1" customWidth="1"/>
    <col min="8" max="8" width="10.5703125" style="55" bestFit="1" customWidth="1"/>
    <col min="9" max="16384" width="9.140625" style="55"/>
  </cols>
  <sheetData>
    <row r="1" spans="2:10" ht="19.5" customHeight="1" thickBot="1"/>
    <row r="2" spans="2:10" ht="25.5" customHeight="1">
      <c r="B2" s="584" t="s">
        <v>98</v>
      </c>
      <c r="C2" s="585"/>
      <c r="D2" s="585"/>
      <c r="E2" s="585"/>
      <c r="F2" s="585"/>
      <c r="G2" s="582" t="s">
        <v>46</v>
      </c>
    </row>
    <row r="3" spans="2:10" ht="24" customHeight="1">
      <c r="B3" s="586" t="str">
        <f>RESUMO!B48</f>
        <v>BAIRRO</v>
      </c>
      <c r="C3" s="587"/>
      <c r="D3" s="589" t="str">
        <f>RESUMO!C48</f>
        <v>MARIA ISABEL</v>
      </c>
      <c r="E3" s="590"/>
      <c r="F3" s="591"/>
      <c r="G3" s="583"/>
    </row>
    <row r="4" spans="2:10" ht="19.5" customHeight="1">
      <c r="B4" s="598" t="str">
        <f>RESUMO!B49</f>
        <v>LOGRADOUROS</v>
      </c>
      <c r="C4" s="594"/>
      <c r="D4" s="592" t="str">
        <f>RESUMO!C49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E4" s="593"/>
      <c r="F4" s="594"/>
      <c r="G4" s="580">
        <f>RESUMO!D45</f>
        <v>33958.903999999995</v>
      </c>
    </row>
    <row r="5" spans="2:10" ht="27.75" customHeight="1">
      <c r="B5" s="599"/>
      <c r="C5" s="597"/>
      <c r="D5" s="595"/>
      <c r="E5" s="596"/>
      <c r="F5" s="597"/>
      <c r="G5" s="580"/>
    </row>
    <row r="6" spans="2:10" ht="22.5" customHeight="1">
      <c r="B6" s="586" t="s">
        <v>230</v>
      </c>
      <c r="C6" s="587"/>
      <c r="D6" s="587"/>
      <c r="E6" s="587"/>
      <c r="F6" s="587"/>
      <c r="G6" s="581"/>
    </row>
    <row r="7" spans="2:10" s="315" customFormat="1" ht="24.95" customHeight="1">
      <c r="B7" s="494" t="s">
        <v>37</v>
      </c>
      <c r="C7" s="305" t="s">
        <v>17</v>
      </c>
      <c r="D7" s="303" t="s">
        <v>172</v>
      </c>
      <c r="E7" s="303" t="s">
        <v>0</v>
      </c>
      <c r="F7" s="303" t="s">
        <v>1</v>
      </c>
      <c r="G7" s="495" t="s">
        <v>2</v>
      </c>
    </row>
    <row r="8" spans="2:10" ht="24.95" customHeight="1">
      <c r="B8" s="494" t="s">
        <v>50</v>
      </c>
      <c r="C8" s="305" t="s">
        <v>252</v>
      </c>
      <c r="D8" s="316"/>
      <c r="E8" s="317" t="s">
        <v>31</v>
      </c>
      <c r="F8" s="487"/>
      <c r="G8" s="318"/>
    </row>
    <row r="9" spans="2:10" ht="24.95" customHeight="1">
      <c r="B9" s="484" t="s">
        <v>51</v>
      </c>
      <c r="C9" s="343" t="s">
        <v>589</v>
      </c>
      <c r="D9" s="319" t="s">
        <v>555</v>
      </c>
      <c r="E9" s="206" t="s">
        <v>150</v>
      </c>
      <c r="F9" s="319" t="s">
        <v>6</v>
      </c>
      <c r="G9" s="205">
        <v>12</v>
      </c>
    </row>
    <row r="10" spans="2:10" ht="24.95" customHeight="1">
      <c r="B10" s="484" t="s">
        <v>52</v>
      </c>
      <c r="C10" s="319">
        <v>93584</v>
      </c>
      <c r="D10" s="319" t="s">
        <v>173</v>
      </c>
      <c r="E10" s="206" t="s">
        <v>158</v>
      </c>
      <c r="F10" s="319" t="s">
        <v>6</v>
      </c>
      <c r="G10" s="320">
        <v>30</v>
      </c>
    </row>
    <row r="11" spans="2:10" ht="24.95" customHeight="1">
      <c r="B11" s="321" t="s">
        <v>91</v>
      </c>
      <c r="C11" s="343" t="s">
        <v>590</v>
      </c>
      <c r="D11" s="319" t="s">
        <v>555</v>
      </c>
      <c r="E11" s="322" t="s">
        <v>54</v>
      </c>
      <c r="F11" s="319" t="s">
        <v>55</v>
      </c>
      <c r="G11" s="205">
        <v>6</v>
      </c>
    </row>
    <row r="12" spans="2:10" ht="24.95" customHeight="1">
      <c r="B12" s="321" t="s">
        <v>138</v>
      </c>
      <c r="C12" s="319">
        <v>5213417</v>
      </c>
      <c r="D12" s="319" t="s">
        <v>344</v>
      </c>
      <c r="E12" s="206" t="s">
        <v>169</v>
      </c>
      <c r="F12" s="319" t="s">
        <v>6</v>
      </c>
      <c r="G12" s="320">
        <v>20</v>
      </c>
    </row>
    <row r="13" spans="2:10" ht="24.95" customHeight="1">
      <c r="B13" s="484"/>
      <c r="C13" s="319"/>
      <c r="D13" s="319"/>
      <c r="E13" s="319"/>
      <c r="F13" s="487"/>
      <c r="G13" s="205"/>
    </row>
    <row r="14" spans="2:10" ht="24.95" customHeight="1">
      <c r="B14" s="494" t="s">
        <v>38</v>
      </c>
      <c r="C14" s="305" t="s">
        <v>28</v>
      </c>
      <c r="D14" s="319"/>
      <c r="E14" s="317" t="s">
        <v>157</v>
      </c>
      <c r="F14" s="319"/>
      <c r="G14" s="320"/>
    </row>
    <row r="15" spans="2:10" ht="24.95" customHeight="1">
      <c r="B15" s="484" t="s">
        <v>49</v>
      </c>
      <c r="C15" s="343" t="s">
        <v>559</v>
      </c>
      <c r="D15" s="319" t="s">
        <v>555</v>
      </c>
      <c r="E15" s="206" t="s">
        <v>558</v>
      </c>
      <c r="F15" s="487" t="s">
        <v>9</v>
      </c>
      <c r="G15" s="320">
        <v>1</v>
      </c>
      <c r="H15" s="323"/>
      <c r="J15" s="324"/>
    </row>
    <row r="16" spans="2:10" ht="24.95" customHeight="1">
      <c r="B16" s="321"/>
      <c r="C16" s="319"/>
      <c r="D16" s="319"/>
      <c r="E16" s="206"/>
      <c r="F16" s="325"/>
      <c r="G16" s="205"/>
    </row>
    <row r="17" spans="2:13" s="315" customFormat="1" ht="24.95" customHeight="1">
      <c r="B17" s="326" t="s">
        <v>39</v>
      </c>
      <c r="C17" s="327" t="s">
        <v>29</v>
      </c>
      <c r="D17" s="319"/>
      <c r="E17" s="317" t="s">
        <v>146</v>
      </c>
      <c r="F17" s="328"/>
      <c r="G17" s="205"/>
    </row>
    <row r="18" spans="2:13" ht="24.95" customHeight="1">
      <c r="B18" s="321" t="s">
        <v>47</v>
      </c>
      <c r="C18" s="343" t="s">
        <v>560</v>
      </c>
      <c r="D18" s="319" t="s">
        <v>555</v>
      </c>
      <c r="E18" s="206" t="s">
        <v>147</v>
      </c>
      <c r="F18" s="319" t="s">
        <v>6</v>
      </c>
      <c r="G18" s="205">
        <f>'TERRAP E PAVIM'!Q55</f>
        <v>38810.199999999997</v>
      </c>
    </row>
    <row r="19" spans="2:13" ht="24.95" customHeight="1">
      <c r="B19" s="321" t="s">
        <v>40</v>
      </c>
      <c r="C19" s="343" t="s">
        <v>561</v>
      </c>
      <c r="D19" s="319" t="s">
        <v>555</v>
      </c>
      <c r="E19" s="206" t="s">
        <v>610</v>
      </c>
      <c r="F19" s="319" t="s">
        <v>4</v>
      </c>
      <c r="G19" s="205">
        <f>'TERRAP E PAVIM'!S55</f>
        <v>5821.5299999999988</v>
      </c>
    </row>
    <row r="20" spans="2:13" ht="24.95" customHeight="1">
      <c r="B20" s="321" t="s">
        <v>56</v>
      </c>
      <c r="C20" s="343" t="s">
        <v>562</v>
      </c>
      <c r="D20" s="319" t="s">
        <v>555</v>
      </c>
      <c r="E20" s="206" t="s">
        <v>148</v>
      </c>
      <c r="F20" s="319" t="s">
        <v>4</v>
      </c>
      <c r="G20" s="205">
        <f>'TERRAP E PAVIM'!T55</f>
        <v>7762.0499999999993</v>
      </c>
    </row>
    <row r="21" spans="2:13" ht="24.95" customHeight="1">
      <c r="B21" s="321" t="s">
        <v>57</v>
      </c>
      <c r="C21" s="343" t="s">
        <v>563</v>
      </c>
      <c r="D21" s="319" t="s">
        <v>555</v>
      </c>
      <c r="E21" s="322" t="s">
        <v>156</v>
      </c>
      <c r="F21" s="319" t="s">
        <v>149</v>
      </c>
      <c r="G21" s="205">
        <f>'TERRAP E PAVIM'!X55/200</f>
        <v>46.927719999999994</v>
      </c>
    </row>
    <row r="22" spans="2:13" ht="24.95" customHeight="1">
      <c r="B22" s="484"/>
      <c r="C22" s="219"/>
      <c r="D22" s="319"/>
      <c r="E22" s="487"/>
      <c r="F22" s="487"/>
      <c r="G22" s="318"/>
    </row>
    <row r="23" spans="2:13" ht="24.95" customHeight="1">
      <c r="B23" s="329" t="s">
        <v>43</v>
      </c>
      <c r="C23" s="303" t="s">
        <v>30</v>
      </c>
      <c r="D23" s="319"/>
      <c r="E23" s="482" t="s">
        <v>3</v>
      </c>
      <c r="F23" s="487"/>
      <c r="G23" s="318"/>
    </row>
    <row r="24" spans="2:13" ht="24.95" customHeight="1">
      <c r="B24" s="486" t="s">
        <v>44</v>
      </c>
      <c r="C24" s="343" t="s">
        <v>564</v>
      </c>
      <c r="D24" s="319" t="s">
        <v>555</v>
      </c>
      <c r="E24" s="485" t="s">
        <v>101</v>
      </c>
      <c r="F24" s="487" t="s">
        <v>6</v>
      </c>
      <c r="G24" s="205">
        <f>'TERRAP E PAVIM'!N55</f>
        <v>14553.815999999999</v>
      </c>
    </row>
    <row r="25" spans="2:13" ht="24.95" customHeight="1">
      <c r="B25" s="486" t="s">
        <v>246</v>
      </c>
      <c r="C25" s="343" t="s">
        <v>566</v>
      </c>
      <c r="D25" s="319" t="s">
        <v>555</v>
      </c>
      <c r="E25" s="322" t="s">
        <v>233</v>
      </c>
      <c r="F25" s="319" t="s">
        <v>4</v>
      </c>
      <c r="G25" s="320">
        <f>(('TERRAP E PAVIM'!O55)-(G27*1.15))</f>
        <v>16625.302399999993</v>
      </c>
      <c r="L25" s="330"/>
      <c r="M25" s="330"/>
    </row>
    <row r="26" spans="2:13" ht="24.95" customHeight="1">
      <c r="B26" s="486" t="s">
        <v>241</v>
      </c>
      <c r="C26" s="319">
        <v>5502137</v>
      </c>
      <c r="D26" s="319" t="s">
        <v>344</v>
      </c>
      <c r="E26" s="331" t="s">
        <v>565</v>
      </c>
      <c r="F26" s="319" t="s">
        <v>4</v>
      </c>
      <c r="G26" s="205">
        <f>'TERRAP E PAVIM'!P55*1.15</f>
        <v>1072.8855999999998</v>
      </c>
      <c r="H26" s="332"/>
    </row>
    <row r="27" spans="2:13" ht="24.95" customHeight="1">
      <c r="B27" s="486" t="s">
        <v>232</v>
      </c>
      <c r="C27" s="319">
        <v>5503041</v>
      </c>
      <c r="D27" s="319" t="s">
        <v>344</v>
      </c>
      <c r="E27" s="485" t="s">
        <v>242</v>
      </c>
      <c r="F27" s="319" t="s">
        <v>4</v>
      </c>
      <c r="G27" s="205">
        <f>'TERRAP E PAVIM'!P55</f>
        <v>932.94399999999996</v>
      </c>
    </row>
    <row r="28" spans="2:13" ht="24.95" customHeight="1">
      <c r="B28" s="486" t="s">
        <v>247</v>
      </c>
      <c r="C28" s="319">
        <v>93595</v>
      </c>
      <c r="D28" s="319" t="s">
        <v>173</v>
      </c>
      <c r="E28" s="226" t="s">
        <v>236</v>
      </c>
      <c r="F28" s="319" t="s">
        <v>58</v>
      </c>
      <c r="G28" s="205">
        <f>TRANSP!J8</f>
        <v>134598.44823039995</v>
      </c>
    </row>
    <row r="29" spans="2:13" ht="24.95" customHeight="1">
      <c r="B29" s="486" t="s">
        <v>234</v>
      </c>
      <c r="C29" s="319">
        <v>95878</v>
      </c>
      <c r="D29" s="319" t="s">
        <v>173</v>
      </c>
      <c r="E29" s="226" t="s">
        <v>237</v>
      </c>
      <c r="F29" s="319" t="s">
        <v>58</v>
      </c>
      <c r="G29" s="205">
        <f>TRANSP!J14</f>
        <v>627106.40652799979</v>
      </c>
    </row>
    <row r="30" spans="2:13" ht="24.95" customHeight="1">
      <c r="B30" s="486" t="s">
        <v>235</v>
      </c>
      <c r="C30" s="343" t="s">
        <v>567</v>
      </c>
      <c r="D30" s="319" t="s">
        <v>555</v>
      </c>
      <c r="E30" s="206" t="s">
        <v>238</v>
      </c>
      <c r="F30" s="319" t="s">
        <v>4</v>
      </c>
      <c r="G30" s="205">
        <f>G25+G26</f>
        <v>17698.187999999995</v>
      </c>
    </row>
    <row r="31" spans="2:13" ht="24.95" customHeight="1">
      <c r="B31" s="486"/>
      <c r="C31" s="333"/>
      <c r="D31" s="319"/>
      <c r="E31" s="334"/>
      <c r="F31" s="487"/>
      <c r="G31" s="205"/>
      <c r="I31" s="335"/>
    </row>
    <row r="32" spans="2:13" ht="24.95" customHeight="1">
      <c r="B32" s="329" t="s">
        <v>45</v>
      </c>
      <c r="C32" s="303" t="s">
        <v>32</v>
      </c>
      <c r="D32" s="319"/>
      <c r="E32" s="482" t="s">
        <v>5</v>
      </c>
      <c r="F32" s="487"/>
      <c r="G32" s="205"/>
    </row>
    <row r="33" spans="2:8" ht="24.95" customHeight="1">
      <c r="B33" s="486" t="s">
        <v>48</v>
      </c>
      <c r="C33" s="343" t="s">
        <v>569</v>
      </c>
      <c r="D33" s="319" t="s">
        <v>555</v>
      </c>
      <c r="E33" s="206" t="s">
        <v>102</v>
      </c>
      <c r="F33" s="487" t="s">
        <v>6</v>
      </c>
      <c r="G33" s="205">
        <f>'TERRAP E PAVIM'!Q55</f>
        <v>38810.199999999997</v>
      </c>
    </row>
    <row r="34" spans="2:8" ht="24.95" customHeight="1">
      <c r="B34" s="486" t="s">
        <v>53</v>
      </c>
      <c r="C34" s="319" t="s">
        <v>568</v>
      </c>
      <c r="D34" s="319" t="s">
        <v>174</v>
      </c>
      <c r="E34" s="206" t="s">
        <v>159</v>
      </c>
      <c r="F34" s="319" t="s">
        <v>4</v>
      </c>
      <c r="G34" s="320">
        <f>('TERRAP E PAVIM'!R55+'TERRAP E PAVIM'!S55+'TERRAP E PAVIM'!T55)*1.15</f>
        <v>15621.116999999997</v>
      </c>
    </row>
    <row r="35" spans="2:8" ht="24.95" customHeight="1">
      <c r="B35" s="486" t="s">
        <v>250</v>
      </c>
      <c r="C35" s="343" t="s">
        <v>570</v>
      </c>
      <c r="D35" s="319" t="s">
        <v>555</v>
      </c>
      <c r="E35" s="322" t="s">
        <v>103</v>
      </c>
      <c r="F35" s="319" t="s">
        <v>4</v>
      </c>
      <c r="G35" s="320">
        <f>'TERRAP E PAVIM'!S55</f>
        <v>5821.5299999999988</v>
      </c>
    </row>
    <row r="36" spans="2:8" ht="24.95" customHeight="1">
      <c r="B36" s="486" t="s">
        <v>160</v>
      </c>
      <c r="C36" s="343" t="s">
        <v>571</v>
      </c>
      <c r="D36" s="319" t="s">
        <v>555</v>
      </c>
      <c r="E36" s="322" t="s">
        <v>104</v>
      </c>
      <c r="F36" s="319" t="s">
        <v>4</v>
      </c>
      <c r="G36" s="320">
        <f>'TERRAP E PAVIM'!T55</f>
        <v>7762.0499999999993</v>
      </c>
      <c r="H36" s="87"/>
    </row>
    <row r="37" spans="2:8" ht="24.95" customHeight="1">
      <c r="B37" s="486" t="s">
        <v>161</v>
      </c>
      <c r="C37" s="343" t="s">
        <v>572</v>
      </c>
      <c r="D37" s="319" t="s">
        <v>555</v>
      </c>
      <c r="E37" s="206" t="s">
        <v>105</v>
      </c>
      <c r="F37" s="487" t="s">
        <v>6</v>
      </c>
      <c r="G37" s="205">
        <f>'TERRAP E PAVIM'!U55</f>
        <v>31048.140000000003</v>
      </c>
    </row>
    <row r="38" spans="2:8" ht="24.95" customHeight="1">
      <c r="B38" s="486" t="s">
        <v>162</v>
      </c>
      <c r="C38" s="343" t="s">
        <v>573</v>
      </c>
      <c r="D38" s="319" t="s">
        <v>555</v>
      </c>
      <c r="E38" s="206" t="s">
        <v>168</v>
      </c>
      <c r="F38" s="487" t="s">
        <v>6</v>
      </c>
      <c r="G38" s="205">
        <f>'TERRAP E PAVIM'!V55</f>
        <v>31048.140000000003</v>
      </c>
    </row>
    <row r="39" spans="2:8" ht="24.95" customHeight="1">
      <c r="B39" s="486" t="s">
        <v>163</v>
      </c>
      <c r="C39" s="343" t="s">
        <v>574</v>
      </c>
      <c r="D39" s="319" t="s">
        <v>555</v>
      </c>
      <c r="E39" s="322" t="s">
        <v>575</v>
      </c>
      <c r="F39" s="487" t="s">
        <v>4</v>
      </c>
      <c r="G39" s="205">
        <f>'TERRAP E PAVIM'!W55</f>
        <v>931.44419999999991</v>
      </c>
    </row>
    <row r="40" spans="2:8" ht="24.95" customHeight="1">
      <c r="B40" s="486" t="s">
        <v>164</v>
      </c>
      <c r="C40" s="343" t="s">
        <v>612</v>
      </c>
      <c r="D40" s="319" t="s">
        <v>555</v>
      </c>
      <c r="E40" s="322" t="s">
        <v>253</v>
      </c>
      <c r="F40" s="487" t="s">
        <v>4</v>
      </c>
      <c r="G40" s="205">
        <f>'TERRAP E PAVIM'!W55</f>
        <v>931.44419999999991</v>
      </c>
    </row>
    <row r="41" spans="2:8" ht="24.95" customHeight="1">
      <c r="B41" s="486" t="s">
        <v>165</v>
      </c>
      <c r="C41" s="319">
        <v>93595</v>
      </c>
      <c r="D41" s="319" t="s">
        <v>173</v>
      </c>
      <c r="E41" s="322" t="s">
        <v>226</v>
      </c>
      <c r="F41" s="487" t="s">
        <v>58</v>
      </c>
      <c r="G41" s="205">
        <f>TRANSP!J22</f>
        <v>109972.66368</v>
      </c>
    </row>
    <row r="42" spans="2:8" ht="24.95" customHeight="1">
      <c r="B42" s="486" t="s">
        <v>166</v>
      </c>
      <c r="C42" s="319">
        <v>95878</v>
      </c>
      <c r="D42" s="319" t="s">
        <v>173</v>
      </c>
      <c r="E42" s="322" t="s">
        <v>224</v>
      </c>
      <c r="F42" s="487" t="s">
        <v>58</v>
      </c>
      <c r="G42" s="205">
        <f>TRANSP!J29</f>
        <v>512372.6375999999</v>
      </c>
    </row>
    <row r="43" spans="2:8" ht="24.95" customHeight="1">
      <c r="B43" s="486" t="s">
        <v>254</v>
      </c>
      <c r="C43" s="343" t="s">
        <v>576</v>
      </c>
      <c r="D43" s="319" t="s">
        <v>555</v>
      </c>
      <c r="E43" s="322" t="s">
        <v>249</v>
      </c>
      <c r="F43" s="487" t="s">
        <v>175</v>
      </c>
      <c r="G43" s="205">
        <f>TRANSP!J35</f>
        <v>8010.42</v>
      </c>
    </row>
    <row r="44" spans="2:8" ht="24.95" customHeight="1">
      <c r="B44" s="486"/>
      <c r="C44" s="487"/>
      <c r="D44" s="319"/>
      <c r="E44" s="487"/>
      <c r="F44" s="487"/>
      <c r="G44" s="205"/>
    </row>
    <row r="45" spans="2:8" ht="24.95" customHeight="1">
      <c r="B45" s="496" t="s">
        <v>106</v>
      </c>
      <c r="C45" s="483" t="s">
        <v>35</v>
      </c>
      <c r="D45" s="337"/>
      <c r="E45" s="338" t="s">
        <v>107</v>
      </c>
      <c r="F45" s="337"/>
      <c r="G45" s="497"/>
    </row>
    <row r="46" spans="2:8" ht="24.95" customHeight="1">
      <c r="B46" s="486" t="s">
        <v>108</v>
      </c>
      <c r="C46" s="343" t="s">
        <v>577</v>
      </c>
      <c r="D46" s="319" t="s">
        <v>555</v>
      </c>
      <c r="E46" s="206" t="s">
        <v>109</v>
      </c>
      <c r="F46" s="319" t="s">
        <v>6</v>
      </c>
      <c r="G46" s="320">
        <f>'SN HOR'!E222</f>
        <v>1150.8021266666667</v>
      </c>
    </row>
    <row r="47" spans="2:8" ht="24.95" customHeight="1">
      <c r="B47" s="486" t="s">
        <v>110</v>
      </c>
      <c r="C47" s="319">
        <v>5213405</v>
      </c>
      <c r="D47" s="319" t="s">
        <v>344</v>
      </c>
      <c r="E47" s="206" t="s">
        <v>170</v>
      </c>
      <c r="F47" s="319" t="s">
        <v>6</v>
      </c>
      <c r="G47" s="320">
        <f>'SN HOR'!E223</f>
        <v>136.14999999999998</v>
      </c>
    </row>
    <row r="48" spans="2:8" ht="24.95" customHeight="1">
      <c r="B48" s="486" t="s">
        <v>111</v>
      </c>
      <c r="C48" s="319">
        <v>5213417</v>
      </c>
      <c r="D48" s="319" t="s">
        <v>344</v>
      </c>
      <c r="E48" s="206" t="s">
        <v>169</v>
      </c>
      <c r="F48" s="319" t="s">
        <v>6</v>
      </c>
      <c r="G48" s="320">
        <f>'SN VERT'!E145</f>
        <v>9.9050000000000011</v>
      </c>
    </row>
    <row r="49" spans="2:8" ht="24.95" customHeight="1">
      <c r="B49" s="486" t="s">
        <v>217</v>
      </c>
      <c r="C49" s="487">
        <v>5213855</v>
      </c>
      <c r="D49" s="319" t="s">
        <v>344</v>
      </c>
      <c r="E49" s="226" t="s">
        <v>216</v>
      </c>
      <c r="F49" s="487" t="s">
        <v>9</v>
      </c>
      <c r="G49" s="205">
        <v>35</v>
      </c>
    </row>
    <row r="50" spans="2:8" ht="24.95" customHeight="1">
      <c r="B50" s="486"/>
      <c r="C50" s="487"/>
      <c r="D50" s="319"/>
      <c r="E50" s="487"/>
      <c r="F50" s="487"/>
      <c r="G50" s="205"/>
    </row>
    <row r="51" spans="2:8" ht="24.95" customHeight="1">
      <c r="B51" s="329" t="s">
        <v>151</v>
      </c>
      <c r="C51" s="303" t="s">
        <v>128</v>
      </c>
      <c r="D51" s="319"/>
      <c r="E51" s="302" t="s">
        <v>10</v>
      </c>
      <c r="F51" s="319"/>
      <c r="G51" s="320"/>
    </row>
    <row r="52" spans="2:8" ht="24.95" customHeight="1">
      <c r="B52" s="321" t="s">
        <v>152</v>
      </c>
      <c r="C52" s="319">
        <v>94267</v>
      </c>
      <c r="D52" s="319" t="s">
        <v>173</v>
      </c>
      <c r="E52" s="322" t="s">
        <v>300</v>
      </c>
      <c r="F52" s="319" t="s">
        <v>8</v>
      </c>
      <c r="G52" s="320">
        <f>'TERRAP E PAVIM'!X55-G53</f>
        <v>8692.5369999999984</v>
      </c>
    </row>
    <row r="53" spans="2:8" ht="24.95" customHeight="1">
      <c r="B53" s="321" t="s">
        <v>178</v>
      </c>
      <c r="C53" s="319">
        <v>94268</v>
      </c>
      <c r="D53" s="319" t="s">
        <v>173</v>
      </c>
      <c r="E53" s="322" t="s">
        <v>301</v>
      </c>
      <c r="F53" s="319" t="s">
        <v>8</v>
      </c>
      <c r="G53" s="320">
        <v>693.00699999999995</v>
      </c>
      <c r="H53" s="122"/>
    </row>
    <row r="54" spans="2:8" s="339" customFormat="1" ht="24.95" customHeight="1">
      <c r="B54" s="321" t="s">
        <v>299</v>
      </c>
      <c r="C54" s="343" t="s">
        <v>578</v>
      </c>
      <c r="D54" s="319" t="s">
        <v>555</v>
      </c>
      <c r="E54" s="206" t="s">
        <v>183</v>
      </c>
      <c r="F54" s="319" t="s">
        <v>9</v>
      </c>
      <c r="G54" s="320">
        <f>'SN VERT'!E146</f>
        <v>70</v>
      </c>
    </row>
    <row r="55" spans="2:8" ht="24.95" customHeight="1">
      <c r="B55" s="486"/>
      <c r="C55" s="487"/>
      <c r="D55" s="319"/>
      <c r="E55" s="487"/>
      <c r="F55" s="487"/>
      <c r="G55" s="205"/>
    </row>
    <row r="56" spans="2:8" s="339" customFormat="1" ht="24.95" customHeight="1">
      <c r="B56" s="329" t="s">
        <v>153</v>
      </c>
      <c r="C56" s="303"/>
      <c r="D56" s="303"/>
      <c r="E56" s="588" t="s">
        <v>7</v>
      </c>
      <c r="F56" s="588"/>
      <c r="G56" s="318"/>
    </row>
    <row r="57" spans="2:8" s="339" customFormat="1" ht="24.95" customHeight="1">
      <c r="B57" s="321" t="s">
        <v>154</v>
      </c>
      <c r="C57" s="319">
        <v>5213417</v>
      </c>
      <c r="D57" s="319" t="s">
        <v>344</v>
      </c>
      <c r="E57" s="206" t="s">
        <v>169</v>
      </c>
      <c r="F57" s="319" t="s">
        <v>6</v>
      </c>
      <c r="G57" s="205">
        <v>20</v>
      </c>
    </row>
    <row r="58" spans="2:8" s="339" customFormat="1" ht="24.95" customHeight="1">
      <c r="B58" s="321" t="s">
        <v>155</v>
      </c>
      <c r="C58" s="343" t="s">
        <v>579</v>
      </c>
      <c r="D58" s="319" t="s">
        <v>555</v>
      </c>
      <c r="E58" s="340" t="s">
        <v>100</v>
      </c>
      <c r="F58" s="319" t="s">
        <v>6</v>
      </c>
      <c r="G58" s="205">
        <v>10</v>
      </c>
    </row>
    <row r="59" spans="2:8" s="339" customFormat="1" ht="24.95" customHeight="1">
      <c r="B59" s="321" t="s">
        <v>179</v>
      </c>
      <c r="C59" s="343" t="s">
        <v>580</v>
      </c>
      <c r="D59" s="319" t="s">
        <v>555</v>
      </c>
      <c r="E59" s="206" t="s">
        <v>184</v>
      </c>
      <c r="F59" s="319" t="s">
        <v>6</v>
      </c>
      <c r="G59" s="320">
        <v>10</v>
      </c>
    </row>
    <row r="60" spans="2:8" s="339" customFormat="1" ht="39" customHeight="1">
      <c r="B60" s="321" t="s">
        <v>171</v>
      </c>
      <c r="C60" s="319">
        <v>90082</v>
      </c>
      <c r="D60" s="319" t="s">
        <v>173</v>
      </c>
      <c r="E60" s="341" t="s">
        <v>297</v>
      </c>
      <c r="F60" s="319" t="s">
        <v>4</v>
      </c>
      <c r="G60" s="320">
        <f>'MEMORIAL DE CALCULO'!D112</f>
        <v>5147.1950000000024</v>
      </c>
    </row>
    <row r="61" spans="2:8" s="339" customFormat="1" ht="24.95" customHeight="1">
      <c r="B61" s="321" t="s">
        <v>180</v>
      </c>
      <c r="C61" s="343" t="s">
        <v>581</v>
      </c>
      <c r="D61" s="319" t="s">
        <v>555</v>
      </c>
      <c r="E61" s="341" t="s">
        <v>587</v>
      </c>
      <c r="F61" s="319" t="s">
        <v>6</v>
      </c>
      <c r="G61" s="320">
        <f>'MEMORIAL DE CALCULO'!D115</f>
        <v>2548.2799999999993</v>
      </c>
    </row>
    <row r="62" spans="2:8" s="339" customFormat="1" ht="24.95" customHeight="1">
      <c r="B62" s="321" t="s">
        <v>181</v>
      </c>
      <c r="C62" s="343" t="s">
        <v>586</v>
      </c>
      <c r="D62" s="319" t="s">
        <v>555</v>
      </c>
      <c r="E62" s="206" t="s">
        <v>185</v>
      </c>
      <c r="F62" s="319" t="s">
        <v>4</v>
      </c>
      <c r="G62" s="320">
        <f>'MEMORIAL DE CALCULO'!D116</f>
        <v>254.82799999999995</v>
      </c>
    </row>
    <row r="63" spans="2:8" s="339" customFormat="1" ht="38.25">
      <c r="B63" s="321" t="s">
        <v>182</v>
      </c>
      <c r="C63" s="319">
        <v>93377</v>
      </c>
      <c r="D63" s="319" t="s">
        <v>173</v>
      </c>
      <c r="E63" s="341" t="s">
        <v>298</v>
      </c>
      <c r="F63" s="319" t="s">
        <v>4</v>
      </c>
      <c r="G63" s="205">
        <f>'MEMORIAL DE CALCULO'!D114</f>
        <v>3853.1836140800024</v>
      </c>
    </row>
    <row r="64" spans="2:8" s="339" customFormat="1" ht="24.95" customHeight="1">
      <c r="B64" s="321" t="s">
        <v>167</v>
      </c>
      <c r="C64" s="319">
        <v>93595</v>
      </c>
      <c r="D64" s="319" t="s">
        <v>173</v>
      </c>
      <c r="E64" s="322" t="s">
        <v>226</v>
      </c>
      <c r="F64" s="487" t="s">
        <v>58</v>
      </c>
      <c r="G64" s="205">
        <f>TRANSP!J42</f>
        <v>9128.8098444083207</v>
      </c>
    </row>
    <row r="65" spans="2:7" s="339" customFormat="1" ht="24.95" customHeight="1">
      <c r="B65" s="321" t="s">
        <v>186</v>
      </c>
      <c r="C65" s="319">
        <v>95878</v>
      </c>
      <c r="D65" s="319" t="s">
        <v>173</v>
      </c>
      <c r="E65" s="322" t="s">
        <v>224</v>
      </c>
      <c r="F65" s="487" t="s">
        <v>58</v>
      </c>
      <c r="G65" s="208">
        <f>TRANSP!J48</f>
        <v>42531.954956902402</v>
      </c>
    </row>
    <row r="66" spans="2:7" ht="24.95" customHeight="1">
      <c r="B66" s="321" t="s">
        <v>188</v>
      </c>
      <c r="C66" s="343" t="s">
        <v>584</v>
      </c>
      <c r="D66" s="319" t="s">
        <v>555</v>
      </c>
      <c r="E66" s="341" t="s">
        <v>611</v>
      </c>
      <c r="F66" s="319" t="s">
        <v>4</v>
      </c>
      <c r="G66" s="205">
        <f>'MEMORIAL DE CALCULO'!D113</f>
        <v>1127.5703859199998</v>
      </c>
    </row>
    <row r="67" spans="2:7" ht="24.95" customHeight="1">
      <c r="B67" s="321" t="s">
        <v>190</v>
      </c>
      <c r="C67" s="343" t="s">
        <v>583</v>
      </c>
      <c r="D67" s="319" t="s">
        <v>555</v>
      </c>
      <c r="E67" s="341" t="s">
        <v>187</v>
      </c>
      <c r="F67" s="319" t="s">
        <v>4</v>
      </c>
      <c r="G67" s="205">
        <f>G66</f>
        <v>1127.5703859199998</v>
      </c>
    </row>
    <row r="68" spans="2:7" ht="24.95" customHeight="1">
      <c r="B68" s="321" t="s">
        <v>557</v>
      </c>
      <c r="C68" s="343" t="s">
        <v>582</v>
      </c>
      <c r="D68" s="319" t="s">
        <v>555</v>
      </c>
      <c r="E68" s="341" t="s">
        <v>189</v>
      </c>
      <c r="F68" s="319" t="s">
        <v>6</v>
      </c>
      <c r="G68" s="342">
        <f>(G73+G72+G74)*0.1*2</f>
        <v>312.40000000000003</v>
      </c>
    </row>
    <row r="69" spans="2:7" ht="24.95" customHeight="1">
      <c r="B69" s="321" t="s">
        <v>585</v>
      </c>
      <c r="C69" s="319">
        <v>4915670</v>
      </c>
      <c r="D69" s="319" t="s">
        <v>344</v>
      </c>
      <c r="E69" s="341" t="s">
        <v>542</v>
      </c>
      <c r="F69" s="319" t="s">
        <v>4</v>
      </c>
      <c r="G69" s="342">
        <f>'MEMORIAL DE CALCULO'!D106</f>
        <v>27.95</v>
      </c>
    </row>
    <row r="70" spans="2:7" ht="24.95" customHeight="1">
      <c r="B70" s="321"/>
      <c r="C70" s="319"/>
      <c r="D70" s="319"/>
      <c r="E70" s="206"/>
      <c r="F70" s="319"/>
      <c r="G70" s="205"/>
    </row>
    <row r="71" spans="2:7" ht="24.95" customHeight="1">
      <c r="B71" s="326" t="s">
        <v>191</v>
      </c>
      <c r="C71" s="327"/>
      <c r="D71" s="327"/>
      <c r="E71" s="209" t="s">
        <v>616</v>
      </c>
      <c r="F71" s="319"/>
      <c r="G71" s="205"/>
    </row>
    <row r="72" spans="2:7" ht="24.95" customHeight="1">
      <c r="B72" s="321" t="s">
        <v>192</v>
      </c>
      <c r="C72" s="464" t="s">
        <v>613</v>
      </c>
      <c r="D72" s="319" t="s">
        <v>173</v>
      </c>
      <c r="E72" s="322" t="s">
        <v>544</v>
      </c>
      <c r="F72" s="319" t="s">
        <v>8</v>
      </c>
      <c r="G72" s="205">
        <f>'MEMORIAL DE CALCULO'!C108+'MEMORIAL DE CALCULO'!C109</f>
        <v>1373</v>
      </c>
    </row>
    <row r="73" spans="2:7" ht="24.95" customHeight="1">
      <c r="B73" s="321" t="s">
        <v>538</v>
      </c>
      <c r="C73" s="464" t="s">
        <v>614</v>
      </c>
      <c r="D73" s="319" t="s">
        <v>173</v>
      </c>
      <c r="E73" s="322" t="s">
        <v>545</v>
      </c>
      <c r="F73" s="319" t="s">
        <v>8</v>
      </c>
      <c r="G73" s="205">
        <f>'MEMORIAL DE CALCULO'!C110</f>
        <v>155</v>
      </c>
    </row>
    <row r="74" spans="2:7" ht="24.95" customHeight="1">
      <c r="B74" s="321" t="s">
        <v>543</v>
      </c>
      <c r="C74" s="464" t="s">
        <v>615</v>
      </c>
      <c r="D74" s="319" t="s">
        <v>173</v>
      </c>
      <c r="E74" s="322" t="s">
        <v>540</v>
      </c>
      <c r="F74" s="319" t="s">
        <v>8</v>
      </c>
      <c r="G74" s="205">
        <f>'MEMORIAL DE CALCULO'!D101*2</f>
        <v>34</v>
      </c>
    </row>
    <row r="75" spans="2:7" ht="24.95" customHeight="1" thickBot="1">
      <c r="B75" s="348"/>
      <c r="C75" s="492"/>
      <c r="D75" s="336"/>
      <c r="E75" s="493"/>
      <c r="F75" s="336"/>
      <c r="G75" s="207"/>
    </row>
    <row r="76" spans="2:7" ht="24.95" customHeight="1">
      <c r="B76" s="488" t="s">
        <v>193</v>
      </c>
      <c r="C76" s="489"/>
      <c r="D76" s="489"/>
      <c r="E76" s="490" t="s">
        <v>194</v>
      </c>
      <c r="F76" s="337"/>
      <c r="G76" s="491"/>
    </row>
    <row r="77" spans="2:7" ht="24.95" customHeight="1">
      <c r="B77" s="321" t="s">
        <v>195</v>
      </c>
      <c r="C77" s="319">
        <v>92824</v>
      </c>
      <c r="D77" s="319" t="s">
        <v>173</v>
      </c>
      <c r="E77" s="322" t="s">
        <v>547</v>
      </c>
      <c r="F77" s="319" t="s">
        <v>8</v>
      </c>
      <c r="G77" s="205">
        <f>G72</f>
        <v>1373</v>
      </c>
    </row>
    <row r="78" spans="2:7" ht="24.95" customHeight="1">
      <c r="B78" s="321" t="s">
        <v>539</v>
      </c>
      <c r="C78" s="319">
        <v>92826</v>
      </c>
      <c r="D78" s="319" t="s">
        <v>173</v>
      </c>
      <c r="E78" s="322" t="s">
        <v>315</v>
      </c>
      <c r="F78" s="319" t="s">
        <v>8</v>
      </c>
      <c r="G78" s="205">
        <f>G73</f>
        <v>155</v>
      </c>
    </row>
    <row r="79" spans="2:7" ht="24.95" customHeight="1">
      <c r="B79" s="321" t="s">
        <v>546</v>
      </c>
      <c r="C79" s="319">
        <v>92828</v>
      </c>
      <c r="D79" s="319" t="s">
        <v>173</v>
      </c>
      <c r="E79" s="322" t="s">
        <v>541</v>
      </c>
      <c r="F79" s="319" t="s">
        <v>8</v>
      </c>
      <c r="G79" s="205">
        <f>G74</f>
        <v>34</v>
      </c>
    </row>
    <row r="80" spans="2:7" ht="24.95" customHeight="1">
      <c r="B80" s="321"/>
      <c r="C80" s="319"/>
      <c r="D80" s="319"/>
      <c r="E80" s="340"/>
      <c r="F80" s="319"/>
      <c r="G80" s="205"/>
    </row>
    <row r="81" spans="2:7" ht="24.95" customHeight="1">
      <c r="B81" s="326" t="s">
        <v>196</v>
      </c>
      <c r="C81" s="327"/>
      <c r="D81" s="327"/>
      <c r="E81" s="209" t="s">
        <v>197</v>
      </c>
      <c r="F81" s="319"/>
      <c r="G81" s="205"/>
    </row>
    <row r="82" spans="2:7" ht="24.95" customHeight="1">
      <c r="B82" s="321" t="s">
        <v>306</v>
      </c>
      <c r="C82" s="319">
        <v>2003644</v>
      </c>
      <c r="D82" s="319" t="s">
        <v>344</v>
      </c>
      <c r="E82" s="341" t="s">
        <v>524</v>
      </c>
      <c r="F82" s="319" t="s">
        <v>9</v>
      </c>
      <c r="G82" s="320">
        <f>'MEMORIAL DE CALCULO'!C88</f>
        <v>1</v>
      </c>
    </row>
    <row r="83" spans="2:7" ht="24.95" customHeight="1">
      <c r="B83" s="321" t="s">
        <v>198</v>
      </c>
      <c r="C83" s="343">
        <v>2003680</v>
      </c>
      <c r="D83" s="319" t="s">
        <v>344</v>
      </c>
      <c r="E83" s="344" t="s">
        <v>525</v>
      </c>
      <c r="F83" s="319" t="s">
        <v>9</v>
      </c>
      <c r="G83" s="320">
        <f>'MEMORIAL DE CALCULO'!C89</f>
        <v>11</v>
      </c>
    </row>
    <row r="84" spans="2:7" ht="24.95" customHeight="1">
      <c r="B84" s="321" t="s">
        <v>199</v>
      </c>
      <c r="C84" s="343">
        <v>2003682</v>
      </c>
      <c r="D84" s="319" t="s">
        <v>344</v>
      </c>
      <c r="E84" s="344" t="s">
        <v>526</v>
      </c>
      <c r="F84" s="319" t="s">
        <v>9</v>
      </c>
      <c r="G84" s="320">
        <f>'MEMORIAL DE CALCULO'!C90</f>
        <v>2</v>
      </c>
    </row>
    <row r="85" spans="2:7" ht="24.95" customHeight="1">
      <c r="B85" s="321" t="s">
        <v>318</v>
      </c>
      <c r="C85" s="343">
        <v>2003692</v>
      </c>
      <c r="D85" s="319" t="s">
        <v>344</v>
      </c>
      <c r="E85" s="344" t="s">
        <v>527</v>
      </c>
      <c r="F85" s="319" t="s">
        <v>9</v>
      </c>
      <c r="G85" s="320">
        <f>'MEMORIAL DE CALCULO'!C91</f>
        <v>2</v>
      </c>
    </row>
    <row r="86" spans="2:7" ht="24.95" customHeight="1">
      <c r="B86" s="321" t="s">
        <v>518</v>
      </c>
      <c r="C86" s="343">
        <v>2003704</v>
      </c>
      <c r="D86" s="319" t="s">
        <v>344</v>
      </c>
      <c r="E86" s="344" t="s">
        <v>528</v>
      </c>
      <c r="F86" s="319" t="s">
        <v>9</v>
      </c>
      <c r="G86" s="320">
        <f>'MEMORIAL DE CALCULO'!C92</f>
        <v>1</v>
      </c>
    </row>
    <row r="87" spans="2:7" ht="24.95" customHeight="1">
      <c r="B87" s="321" t="s">
        <v>519</v>
      </c>
      <c r="C87" s="343">
        <v>2003714</v>
      </c>
      <c r="D87" s="319" t="s">
        <v>344</v>
      </c>
      <c r="E87" s="344" t="s">
        <v>529</v>
      </c>
      <c r="F87" s="319" t="s">
        <v>9</v>
      </c>
      <c r="G87" s="320">
        <f>'MEMORIAL DE CALCULO'!C93</f>
        <v>16</v>
      </c>
    </row>
    <row r="88" spans="2:7" ht="24.95" customHeight="1">
      <c r="B88" s="321" t="s">
        <v>520</v>
      </c>
      <c r="C88" s="343">
        <v>2003449</v>
      </c>
      <c r="D88" s="319" t="s">
        <v>344</v>
      </c>
      <c r="E88" s="344" t="s">
        <v>531</v>
      </c>
      <c r="F88" s="319" t="s">
        <v>9</v>
      </c>
      <c r="G88" s="320">
        <f>'MEMORIAL DE CALCULO'!C95</f>
        <v>4</v>
      </c>
    </row>
    <row r="89" spans="2:7" ht="24.95" customHeight="1">
      <c r="B89" s="321" t="s">
        <v>521</v>
      </c>
      <c r="C89" s="343">
        <v>2003455</v>
      </c>
      <c r="D89" s="319" t="s">
        <v>344</v>
      </c>
      <c r="E89" s="344" t="s">
        <v>530</v>
      </c>
      <c r="F89" s="319" t="s">
        <v>9</v>
      </c>
      <c r="G89" s="320">
        <f>'MEMORIAL DE CALCULO'!C94</f>
        <v>2</v>
      </c>
    </row>
    <row r="90" spans="2:7" ht="24.95" customHeight="1">
      <c r="B90" s="321" t="s">
        <v>522</v>
      </c>
      <c r="C90" s="343">
        <v>2003385</v>
      </c>
      <c r="D90" s="319" t="s">
        <v>344</v>
      </c>
      <c r="E90" s="344" t="s">
        <v>532</v>
      </c>
      <c r="F90" s="319" t="s">
        <v>9</v>
      </c>
      <c r="G90" s="320">
        <f>'MEMORIAL DE CALCULO'!C96</f>
        <v>4</v>
      </c>
    </row>
    <row r="91" spans="2:7" ht="24.95" customHeight="1">
      <c r="B91" s="321" t="s">
        <v>523</v>
      </c>
      <c r="C91" s="343">
        <v>2003387</v>
      </c>
      <c r="D91" s="319" t="s">
        <v>344</v>
      </c>
      <c r="E91" s="344" t="s">
        <v>316</v>
      </c>
      <c r="F91" s="319" t="s">
        <v>9</v>
      </c>
      <c r="G91" s="320">
        <f>'MEMORIAL DE CALCULO'!C97</f>
        <v>2</v>
      </c>
    </row>
    <row r="92" spans="2:7" ht="24.95" customHeight="1">
      <c r="B92" s="321" t="s">
        <v>549</v>
      </c>
      <c r="C92" s="343">
        <v>2003391</v>
      </c>
      <c r="D92" s="319" t="s">
        <v>344</v>
      </c>
      <c r="E92" s="344" t="s">
        <v>317</v>
      </c>
      <c r="F92" s="319" t="s">
        <v>8</v>
      </c>
      <c r="G92" s="320">
        <f>'MEMORIAL DE CALCULO'!D100</f>
        <v>18</v>
      </c>
    </row>
    <row r="93" spans="2:7" ht="24.95" customHeight="1">
      <c r="B93" s="321" t="s">
        <v>550</v>
      </c>
      <c r="C93" s="347" t="s">
        <v>319</v>
      </c>
      <c r="D93" s="319" t="s">
        <v>344</v>
      </c>
      <c r="E93" s="344" t="s">
        <v>533</v>
      </c>
      <c r="F93" s="319" t="s">
        <v>9</v>
      </c>
      <c r="G93" s="320">
        <f>'MEMORIAL DE CALCULO'!C98</f>
        <v>2</v>
      </c>
    </row>
    <row r="94" spans="2:7" ht="24.95" customHeight="1">
      <c r="B94" s="321" t="s">
        <v>551</v>
      </c>
      <c r="C94" s="347" t="s">
        <v>534</v>
      </c>
      <c r="D94" s="319" t="s">
        <v>344</v>
      </c>
      <c r="E94" s="344" t="s">
        <v>535</v>
      </c>
      <c r="F94" s="319" t="s">
        <v>9</v>
      </c>
      <c r="G94" s="320">
        <f>'MEMORIAL DE CALCULO'!C99</f>
        <v>2</v>
      </c>
    </row>
    <row r="95" spans="2:7" ht="24.95" customHeight="1">
      <c r="B95" s="321" t="s">
        <v>552</v>
      </c>
      <c r="C95" s="343">
        <v>1600989</v>
      </c>
      <c r="D95" s="319" t="s">
        <v>344</v>
      </c>
      <c r="E95" s="344" t="s">
        <v>536</v>
      </c>
      <c r="F95" s="319" t="s">
        <v>4</v>
      </c>
      <c r="G95" s="320">
        <f>'MEMORIAL DE CALCULO'!D102</f>
        <v>2.306</v>
      </c>
    </row>
    <row r="96" spans="2:7" ht="24.95" customHeight="1">
      <c r="B96" s="321" t="s">
        <v>553</v>
      </c>
      <c r="C96" s="343">
        <v>1600404</v>
      </c>
      <c r="D96" s="319" t="s">
        <v>344</v>
      </c>
      <c r="E96" s="344" t="s">
        <v>537</v>
      </c>
      <c r="F96" s="345" t="s">
        <v>8</v>
      </c>
      <c r="G96" s="346">
        <f>'MEMORIAL DE CALCULO'!D103</f>
        <v>14</v>
      </c>
    </row>
    <row r="97" spans="2:7" ht="24.95" customHeight="1">
      <c r="B97" s="321" t="s">
        <v>554</v>
      </c>
      <c r="C97" s="343" t="s">
        <v>556</v>
      </c>
      <c r="D97" s="319" t="s">
        <v>555</v>
      </c>
      <c r="E97" s="344" t="s">
        <v>548</v>
      </c>
      <c r="F97" s="319" t="s">
        <v>9</v>
      </c>
      <c r="G97" s="346">
        <f>'MEMORIAL DE CALCULO'!C111</f>
        <v>44</v>
      </c>
    </row>
    <row r="98" spans="2:7" ht="24.95" customHeight="1" thickBot="1">
      <c r="B98" s="348"/>
      <c r="C98" s="349"/>
      <c r="D98" s="336"/>
      <c r="E98" s="350"/>
      <c r="F98" s="349"/>
      <c r="G98" s="210"/>
    </row>
    <row r="103" spans="2:7">
      <c r="G103" s="332">
        <f>SUM(G8:G98)</f>
        <v>1707565.9344722971</v>
      </c>
    </row>
  </sheetData>
  <customSheetViews>
    <customSheetView guid="{E8D46A29-8D28-49CA-936A-9705D639E1C7}" topLeftCell="A34">
      <selection activeCell="E51" sqref="E51"/>
      <pageMargins left="0.51181102362204722" right="0.51181102362204722" top="0.78740157480314965" bottom="0.78740157480314965" header="0.31496062992125984" footer="0.31496062992125984"/>
      <printOptions horizontalCentered="1"/>
      <pageSetup scale="80" orientation="portrait" horizontalDpi="4294967294" r:id="rId1"/>
    </customSheetView>
  </customSheetViews>
  <mergeCells count="9">
    <mergeCell ref="G4:G6"/>
    <mergeCell ref="G2:G3"/>
    <mergeCell ref="B2:F2"/>
    <mergeCell ref="B6:F6"/>
    <mergeCell ref="E56:F56"/>
    <mergeCell ref="B3:C3"/>
    <mergeCell ref="D3:F3"/>
    <mergeCell ref="D4:F5"/>
    <mergeCell ref="B4:C5"/>
  </mergeCells>
  <printOptions horizontalCentered="1"/>
  <pageMargins left="0.31496062992125984" right="0.31496062992125984" top="0.55118110236220474" bottom="0.39370078740157483" header="0.31496062992125984" footer="0.31496062992125984"/>
  <pageSetup paperSize="9" scale="85" fitToWidth="2" orientation="portrait" horizontalDpi="4294967294" r:id="rId2"/>
  <ignoredErrors>
    <ignoredError sqref="C93:C94 C72:C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HZ107"/>
  <sheetViews>
    <sheetView tabSelected="1" topLeftCell="A10" zoomScaleNormal="100" workbookViewId="0">
      <selection activeCell="F94" sqref="F94"/>
    </sheetView>
  </sheetViews>
  <sheetFormatPr defaultColWidth="9.140625" defaultRowHeight="15" customHeight="1"/>
  <cols>
    <col min="1" max="2" width="11.28515625" style="122" customWidth="1"/>
    <col min="3" max="3" width="12.7109375" style="122" customWidth="1"/>
    <col min="4" max="4" width="84.42578125" style="87" customWidth="1"/>
    <col min="5" max="5" width="7.140625" style="122" customWidth="1"/>
    <col min="6" max="6" width="15.28515625" style="123" customWidth="1"/>
    <col min="7" max="7" width="12.42578125" style="124" customWidth="1"/>
    <col min="8" max="8" width="17.140625" style="124" customWidth="1"/>
    <col min="9" max="9" width="14.28515625" style="124" customWidth="1"/>
    <col min="10" max="10" width="21.7109375" style="124" customWidth="1"/>
    <col min="11" max="11" width="12.42578125" style="124" customWidth="1"/>
    <col min="12" max="12" width="28" style="87" bestFit="1" customWidth="1"/>
    <col min="13" max="13" width="10.140625" style="87" bestFit="1" customWidth="1"/>
    <col min="14" max="15" width="9.140625" style="87"/>
    <col min="16" max="16" width="9.85546875" style="87" bestFit="1" customWidth="1"/>
    <col min="17" max="16384" width="9.140625" style="87"/>
  </cols>
  <sheetData>
    <row r="1" spans="1:234" s="301" customFormat="1" ht="24.95" customHeight="1">
      <c r="A1" s="606" t="str">
        <f>QUANT!B2</f>
        <v>PREFEITURA MUNICIPAL DE VÁRZEA GRANDE</v>
      </c>
      <c r="B1" s="607"/>
      <c r="C1" s="608"/>
      <c r="D1" s="619" t="s">
        <v>309</v>
      </c>
      <c r="E1" s="620"/>
      <c r="F1" s="620"/>
      <c r="G1" s="620"/>
      <c r="H1" s="620"/>
      <c r="I1" s="621"/>
      <c r="J1" s="498" t="s">
        <v>77</v>
      </c>
      <c r="HZ1" s="301" t="s">
        <v>11</v>
      </c>
    </row>
    <row r="2" spans="1:234" ht="24.95" customHeight="1">
      <c r="A2" s="609"/>
      <c r="B2" s="610"/>
      <c r="C2" s="611"/>
      <c r="D2" s="622" t="str">
        <f>RESUMO!C49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E2" s="623"/>
      <c r="F2" s="623"/>
      <c r="G2" s="623"/>
      <c r="H2" s="623"/>
      <c r="I2" s="624"/>
      <c r="J2" s="353" t="str">
        <f>RESUMO!D5</f>
        <v>DEZEMBRO/2021 SINAPI</v>
      </c>
      <c r="K2" s="87"/>
    </row>
    <row r="3" spans="1:234" ht="24.95" customHeight="1">
      <c r="A3" s="609"/>
      <c r="B3" s="610"/>
      <c r="C3" s="611"/>
      <c r="D3" s="625"/>
      <c r="E3" s="626"/>
      <c r="F3" s="626"/>
      <c r="G3" s="626"/>
      <c r="H3" s="626"/>
      <c r="I3" s="627"/>
      <c r="J3" s="600" t="str">
        <f>RESUMO!D6</f>
        <v>JULHO/2021 SICRO</v>
      </c>
      <c r="K3" s="87"/>
    </row>
    <row r="4" spans="1:234" ht="24.95" customHeight="1">
      <c r="A4" s="612"/>
      <c r="B4" s="613"/>
      <c r="C4" s="614"/>
      <c r="D4" s="603" t="str">
        <f>QUANT!B6</f>
        <v>OBRA: Pavimentação de Vias Urbanas</v>
      </c>
      <c r="E4" s="604"/>
      <c r="F4" s="604"/>
      <c r="G4" s="604"/>
      <c r="H4" s="604"/>
      <c r="I4" s="605"/>
      <c r="J4" s="601"/>
      <c r="K4" s="87"/>
    </row>
    <row r="5" spans="1:234" ht="24.95" customHeight="1">
      <c r="A5" s="615" t="s">
        <v>99</v>
      </c>
      <c r="B5" s="616"/>
      <c r="C5" s="616"/>
      <c r="D5" s="351">
        <f>BDI!E26</f>
        <v>0.20699999999999999</v>
      </c>
      <c r="E5" s="628" t="s">
        <v>346</v>
      </c>
      <c r="F5" s="629"/>
      <c r="G5" s="632">
        <f>'TERRAP E PAVIM'!I57</f>
        <v>33958.903999999995</v>
      </c>
      <c r="H5" s="634" t="s">
        <v>345</v>
      </c>
      <c r="I5" s="636">
        <f>'TERRAP E PAVIM'!I55</f>
        <v>4851.271999999999</v>
      </c>
      <c r="J5" s="638" t="s">
        <v>248</v>
      </c>
      <c r="K5" s="178"/>
    </row>
    <row r="6" spans="1:234" ht="24.95" customHeight="1">
      <c r="A6" s="617" t="s">
        <v>177</v>
      </c>
      <c r="B6" s="618"/>
      <c r="C6" s="618"/>
      <c r="D6" s="352">
        <f>'BDI DIFERENCIADO'!E26</f>
        <v>0.1527</v>
      </c>
      <c r="E6" s="630"/>
      <c r="F6" s="631"/>
      <c r="G6" s="633"/>
      <c r="H6" s="635"/>
      <c r="I6" s="637"/>
      <c r="J6" s="601"/>
      <c r="K6" s="178"/>
    </row>
    <row r="7" spans="1:234" s="465" customFormat="1" ht="24.95" customHeight="1">
      <c r="A7" s="303" t="str">
        <f>QUANT!B7</f>
        <v>ITEM</v>
      </c>
      <c r="B7" s="303" t="str">
        <f>QUANT!C7</f>
        <v>CÓDIGO</v>
      </c>
      <c r="C7" s="303" t="str">
        <f>QUANT!D7</f>
        <v>BANCO</v>
      </c>
      <c r="D7" s="302" t="str">
        <f>QUANT!E7</f>
        <v>DISCRIMINAÇÃO</v>
      </c>
      <c r="E7" s="303" t="s">
        <v>12</v>
      </c>
      <c r="F7" s="304" t="s">
        <v>13</v>
      </c>
      <c r="G7" s="180" t="s">
        <v>14</v>
      </c>
      <c r="H7" s="305" t="s">
        <v>228</v>
      </c>
      <c r="I7" s="303" t="s">
        <v>15</v>
      </c>
      <c r="J7" s="303" t="s">
        <v>16</v>
      </c>
      <c r="K7" s="306"/>
    </row>
    <row r="8" spans="1:234" ht="30" customHeight="1">
      <c r="A8" s="303" t="str">
        <f>QUANT!B8</f>
        <v>1.0</v>
      </c>
      <c r="B8" s="303"/>
      <c r="C8" s="303"/>
      <c r="D8" s="302" t="str">
        <f>QUANT!E8</f>
        <v>SERVIÇOS PRELIMINARES</v>
      </c>
      <c r="E8" s="499"/>
      <c r="F8" s="247"/>
      <c r="G8" s="181"/>
      <c r="H8" s="181"/>
      <c r="I8" s="181"/>
      <c r="J8" s="307"/>
      <c r="K8" s="182"/>
    </row>
    <row r="9" spans="1:234" ht="30" customHeight="1">
      <c r="A9" s="499" t="str">
        <f>QUANT!B9</f>
        <v>1.1</v>
      </c>
      <c r="B9" s="499" t="str">
        <f>QUANT!C9</f>
        <v>Comp. 1.1</v>
      </c>
      <c r="C9" s="499" t="s">
        <v>555</v>
      </c>
      <c r="D9" s="230" t="str">
        <f>QUANT!E9</f>
        <v>Placa de obra em chapa de aço galvanizado</v>
      </c>
      <c r="E9" s="499" t="str">
        <f>QUANT!F9</f>
        <v>m²</v>
      </c>
      <c r="F9" s="247">
        <f>QUANT!G9</f>
        <v>12</v>
      </c>
      <c r="G9" s="181">
        <f>'COMP.'!S15</f>
        <v>326.34859999999998</v>
      </c>
      <c r="H9" s="181">
        <f>TRUNC((G9*(1+($D$5))),2)</f>
        <v>393.9</v>
      </c>
      <c r="I9" s="181">
        <f>TRUNC(F9*H9,2)</f>
        <v>4726.8</v>
      </c>
      <c r="J9" s="308"/>
      <c r="K9" s="182"/>
    </row>
    <row r="10" spans="1:234" ht="30" customHeight="1">
      <c r="A10" s="499" t="str">
        <f>QUANT!B10</f>
        <v>1.2</v>
      </c>
      <c r="B10" s="499">
        <v>93584</v>
      </c>
      <c r="C10" s="499" t="s">
        <v>173</v>
      </c>
      <c r="D10" s="230" t="str">
        <f>QUANT!E10</f>
        <v>Execução de depósito em canteiro de obra</v>
      </c>
      <c r="E10" s="499" t="str">
        <f>QUANT!F10</f>
        <v>m²</v>
      </c>
      <c r="F10" s="247">
        <f>QUANT!G10</f>
        <v>30</v>
      </c>
      <c r="G10" s="181">
        <v>773.65</v>
      </c>
      <c r="H10" s="181">
        <f>TRUNC((G10*(1+($D$5))),2)</f>
        <v>933.79</v>
      </c>
      <c r="I10" s="181">
        <f>TRUNC(F10*H10,2)</f>
        <v>28013.7</v>
      </c>
      <c r="J10" s="308"/>
      <c r="K10" s="182"/>
    </row>
    <row r="11" spans="1:234" ht="38.25">
      <c r="A11" s="499" t="str">
        <f>QUANT!B11</f>
        <v>1.3</v>
      </c>
      <c r="B11" s="499" t="s">
        <v>590</v>
      </c>
      <c r="C11" s="499" t="s">
        <v>555</v>
      </c>
      <c r="D11" s="226" t="str">
        <f>QUANT!E11</f>
        <v>Aluguel container/sanit c/2 vasos/1 lavat/1 mic/4 chuv larg2,20m compr=6,20m alt=2,50m chapa aco c/nerv trapez forro c/isolam termo/acustico chassis reforc piso compens naval inclinst eletr/hidr excl transp/carga/descarga</v>
      </c>
      <c r="E11" s="499" t="str">
        <f>QUANT!F11</f>
        <v>mês</v>
      </c>
      <c r="F11" s="247">
        <f>QUANT!G11</f>
        <v>6</v>
      </c>
      <c r="G11" s="181">
        <f>'COMP.'!S29</f>
        <v>590.62</v>
      </c>
      <c r="H11" s="181">
        <f>TRUNC((G11*(1+($D$5))),2)</f>
        <v>712.87</v>
      </c>
      <c r="I11" s="181">
        <f>TRUNC(F11*H11,2)</f>
        <v>4277.22</v>
      </c>
      <c r="J11" s="180"/>
      <c r="K11" s="182"/>
      <c r="L11" s="431"/>
      <c r="M11" s="465"/>
      <c r="N11" s="465"/>
      <c r="O11" s="465"/>
      <c r="P11" s="465"/>
    </row>
    <row r="12" spans="1:234" ht="30" customHeight="1">
      <c r="A12" s="499" t="str">
        <f>QUANT!B12</f>
        <v>1.4</v>
      </c>
      <c r="B12" s="499">
        <v>5213417</v>
      </c>
      <c r="C12" s="499" t="s">
        <v>344</v>
      </c>
      <c r="D12" s="230" t="str">
        <f>QUANT!E12</f>
        <v>Confecção de placa em aço nº 16 galvanizado, com película retrorrefletiva tipo I + III</v>
      </c>
      <c r="E12" s="499" t="str">
        <f>QUANT!F12</f>
        <v>m²</v>
      </c>
      <c r="F12" s="247">
        <f>QUANT!G12</f>
        <v>20</v>
      </c>
      <c r="G12" s="181">
        <v>369.62</v>
      </c>
      <c r="H12" s="181">
        <f>TRUNC((G12*(1+($D$5))),2)</f>
        <v>446.13</v>
      </c>
      <c r="I12" s="181">
        <f>TRUNC(F12*H12,2)</f>
        <v>8922.6</v>
      </c>
      <c r="J12" s="180">
        <f>SUM(I9:I12)</f>
        <v>45940.32</v>
      </c>
      <c r="K12" s="182"/>
      <c r="L12" s="465"/>
      <c r="M12" s="465"/>
      <c r="N12" s="465"/>
      <c r="O12" s="465"/>
      <c r="P12" s="465"/>
    </row>
    <row r="13" spans="1:234" ht="30" customHeight="1">
      <c r="A13" s="499"/>
      <c r="B13" s="499"/>
      <c r="C13" s="499"/>
      <c r="D13" s="230"/>
      <c r="E13" s="499"/>
      <c r="F13" s="247"/>
      <c r="G13" s="181"/>
      <c r="H13" s="181"/>
      <c r="I13" s="181"/>
      <c r="J13" s="180"/>
      <c r="K13" s="182"/>
      <c r="L13" s="465"/>
      <c r="M13" s="465"/>
      <c r="N13" s="465"/>
      <c r="O13" s="465"/>
      <c r="P13" s="465"/>
    </row>
    <row r="14" spans="1:234" ht="30" customHeight="1">
      <c r="A14" s="303" t="str">
        <f>QUANT!B14</f>
        <v>2.0</v>
      </c>
      <c r="B14" s="303"/>
      <c r="C14" s="303"/>
      <c r="D14" s="302" t="str">
        <f>QUANT!E14</f>
        <v>ADMINISTRAÇÃO LOCAL</v>
      </c>
      <c r="E14" s="499"/>
      <c r="F14" s="247"/>
      <c r="G14" s="181"/>
      <c r="H14" s="181"/>
      <c r="I14" s="181"/>
      <c r="J14" s="180"/>
      <c r="K14" s="182"/>
      <c r="L14" s="310"/>
      <c r="M14" s="310"/>
      <c r="N14" s="310"/>
      <c r="O14" s="310"/>
      <c r="P14" s="310"/>
    </row>
    <row r="15" spans="1:234" ht="30" customHeight="1">
      <c r="A15" s="499" t="str">
        <f>QUANT!B15</f>
        <v>2.1</v>
      </c>
      <c r="B15" s="499" t="s">
        <v>559</v>
      </c>
      <c r="C15" s="499" t="s">
        <v>555</v>
      </c>
      <c r="D15" s="230" t="str">
        <f>QUANT!E15</f>
        <v>Administração Local</v>
      </c>
      <c r="E15" s="499" t="str">
        <f>QUANT!F15</f>
        <v>unid</v>
      </c>
      <c r="F15" s="247">
        <f>QUANT!G15</f>
        <v>1</v>
      </c>
      <c r="G15" s="181">
        <f>'COMP.'!S50</f>
        <v>302634.65999999997</v>
      </c>
      <c r="H15" s="181">
        <f>TRUNC((G15*(1+($D$5))),2)</f>
        <v>365280.03</v>
      </c>
      <c r="I15" s="181">
        <f t="shared" ref="I15:I57" si="0">TRUNC(F15*H15,2)</f>
        <v>365280.03</v>
      </c>
      <c r="J15" s="180">
        <f>I15</f>
        <v>365280.03</v>
      </c>
      <c r="K15" s="480"/>
      <c r="L15" s="481"/>
      <c r="M15" s="309"/>
      <c r="N15" s="309"/>
      <c r="O15" s="309"/>
      <c r="P15" s="309"/>
    </row>
    <row r="16" spans="1:234" ht="30" customHeight="1">
      <c r="A16" s="499"/>
      <c r="B16" s="499"/>
      <c r="C16" s="499"/>
      <c r="D16" s="230"/>
      <c r="E16" s="499"/>
      <c r="F16" s="247"/>
      <c r="G16" s="181"/>
      <c r="H16" s="181"/>
      <c r="I16" s="181"/>
      <c r="J16" s="180"/>
      <c r="K16" s="182"/>
    </row>
    <row r="17" spans="1:11" ht="30" customHeight="1">
      <c r="A17" s="303" t="str">
        <f>QUANT!B17</f>
        <v>3.0</v>
      </c>
      <c r="B17" s="303"/>
      <c r="C17" s="303"/>
      <c r="D17" s="302" t="str">
        <f>QUANT!E17</f>
        <v>ENSAIOS TECNOLÓGICOS DE SOLO E ASFALTO</v>
      </c>
      <c r="E17" s="499"/>
      <c r="F17" s="247"/>
      <c r="G17" s="181"/>
      <c r="H17" s="181"/>
      <c r="I17" s="181"/>
      <c r="J17" s="180"/>
      <c r="K17" s="182"/>
    </row>
    <row r="18" spans="1:11" ht="30" customHeight="1">
      <c r="A18" s="499" t="str">
        <f>QUANT!B18</f>
        <v>3.1</v>
      </c>
      <c r="B18" s="499" t="s">
        <v>560</v>
      </c>
      <c r="C18" s="499" t="s">
        <v>555</v>
      </c>
      <c r="D18" s="230" t="str">
        <f>QUANT!E18</f>
        <v>Ensaio de regularição de sub-leito</v>
      </c>
      <c r="E18" s="499" t="str">
        <f>QUANT!F18</f>
        <v>m²</v>
      </c>
      <c r="F18" s="247">
        <f>QUANT!G18</f>
        <v>38810.199999999997</v>
      </c>
      <c r="G18" s="181">
        <f>'COMP.'!S70</f>
        <v>1.1387210000000001</v>
      </c>
      <c r="H18" s="181">
        <f>TRUNC((G18*(1+($D$5))),2)</f>
        <v>1.37</v>
      </c>
      <c r="I18" s="181">
        <f t="shared" si="0"/>
        <v>53169.97</v>
      </c>
      <c r="J18" s="180"/>
      <c r="K18" s="182"/>
    </row>
    <row r="19" spans="1:11" ht="30" customHeight="1">
      <c r="A19" s="499" t="str">
        <f>QUANT!B19</f>
        <v>3.2</v>
      </c>
      <c r="B19" s="499" t="s">
        <v>561</v>
      </c>
      <c r="C19" s="499" t="s">
        <v>555</v>
      </c>
      <c r="D19" s="230" t="str">
        <f>QUANT!E19</f>
        <v>Ensaio de Sub-base estabilizada granulometricamente</v>
      </c>
      <c r="E19" s="499" t="str">
        <f>QUANT!F19</f>
        <v>m³</v>
      </c>
      <c r="F19" s="247">
        <f>QUANT!G19</f>
        <v>5821.5299999999988</v>
      </c>
      <c r="G19" s="181">
        <f>'COMP.'!S91</f>
        <v>2.18825</v>
      </c>
      <c r="H19" s="181">
        <f>TRUNC((G19*(1+($D$5))),2)</f>
        <v>2.64</v>
      </c>
      <c r="I19" s="181">
        <f t="shared" si="0"/>
        <v>15368.83</v>
      </c>
      <c r="J19" s="180"/>
      <c r="K19" s="182"/>
    </row>
    <row r="20" spans="1:11" ht="30" customHeight="1">
      <c r="A20" s="499" t="str">
        <f>QUANT!B20</f>
        <v>3.3</v>
      </c>
      <c r="B20" s="499" t="s">
        <v>562</v>
      </c>
      <c r="C20" s="499" t="s">
        <v>555</v>
      </c>
      <c r="D20" s="230" t="str">
        <f>QUANT!E20</f>
        <v>Ensaio de base estabilizada granulometricamente</v>
      </c>
      <c r="E20" s="499" t="str">
        <f>QUANT!F20</f>
        <v>m³</v>
      </c>
      <c r="F20" s="247">
        <f>QUANT!G20</f>
        <v>7762.0499999999993</v>
      </c>
      <c r="G20" s="181">
        <f>'COMP.'!S112</f>
        <v>2.18825</v>
      </c>
      <c r="H20" s="181">
        <f>TRUNC((G20*(1+($D$5))),2)</f>
        <v>2.64</v>
      </c>
      <c r="I20" s="181">
        <f t="shared" si="0"/>
        <v>20491.810000000001</v>
      </c>
      <c r="J20" s="180"/>
      <c r="K20" s="182"/>
    </row>
    <row r="21" spans="1:11" ht="30" customHeight="1">
      <c r="A21" s="499" t="str">
        <f>QUANT!B21</f>
        <v>3.4</v>
      </c>
      <c r="B21" s="499" t="s">
        <v>563</v>
      </c>
      <c r="C21" s="499" t="s">
        <v>555</v>
      </c>
      <c r="D21" s="246" t="str">
        <f>QUANT!E21</f>
        <v>Ensaio de resistência a compressão simples do concreto - meio-fio, sarjetas e calçadas 
(considerado 1,0 amostra a cada 200 m)</v>
      </c>
      <c r="E21" s="499" t="str">
        <f>QUANT!F21</f>
        <v>un</v>
      </c>
      <c r="F21" s="247">
        <f>QUANT!G21</f>
        <v>46.927719999999994</v>
      </c>
      <c r="G21" s="181">
        <f>'COMP.'!S127</f>
        <v>129.38400000000001</v>
      </c>
      <c r="H21" s="181">
        <f>TRUNC((G21*(1+($D$5))),2)</f>
        <v>156.16</v>
      </c>
      <c r="I21" s="181">
        <f t="shared" si="0"/>
        <v>7328.23</v>
      </c>
      <c r="J21" s="180">
        <f>SUM(I18:I21)</f>
        <v>96358.84</v>
      </c>
      <c r="K21" s="182"/>
    </row>
    <row r="22" spans="1:11" ht="30" customHeight="1">
      <c r="A22" s="499"/>
      <c r="B22" s="499"/>
      <c r="C22" s="499"/>
      <c r="D22" s="230"/>
      <c r="E22" s="499"/>
      <c r="F22" s="247"/>
      <c r="G22" s="181"/>
      <c r="H22" s="181"/>
      <c r="I22" s="181"/>
      <c r="J22" s="181"/>
      <c r="K22" s="182"/>
    </row>
    <row r="23" spans="1:11" ht="30" customHeight="1">
      <c r="A23" s="303" t="str">
        <f>QUANT!B23</f>
        <v>4.0</v>
      </c>
      <c r="B23" s="303"/>
      <c r="C23" s="303"/>
      <c r="D23" s="302" t="str">
        <f>QUANT!E23</f>
        <v>TERRAPLENAGEM</v>
      </c>
      <c r="E23" s="499"/>
      <c r="F23" s="247"/>
      <c r="G23" s="181"/>
      <c r="H23" s="181"/>
      <c r="I23" s="181"/>
      <c r="J23" s="181"/>
      <c r="K23" s="182"/>
    </row>
    <row r="24" spans="1:11" ht="30" customHeight="1">
      <c r="A24" s="499" t="str">
        <f>QUANT!B24</f>
        <v>4.1</v>
      </c>
      <c r="B24" s="499" t="s">
        <v>564</v>
      </c>
      <c r="C24" s="499" t="s">
        <v>555</v>
      </c>
      <c r="D24" s="246" t="str">
        <f>QUANT!E24</f>
        <v>Limpeza mecanizada de área com remoção de camada vegetal, utilizando motoniveladora</v>
      </c>
      <c r="E24" s="499" t="str">
        <f>QUANT!F24</f>
        <v>m²</v>
      </c>
      <c r="F24" s="247">
        <f>QUANT!G24</f>
        <v>14553.815999999999</v>
      </c>
      <c r="G24" s="181">
        <f>'COMP.'!S143</f>
        <v>0.64431000000000005</v>
      </c>
      <c r="H24" s="181">
        <f t="shared" ref="H24:H30" si="1">TRUNC((G24*(1+($D$5))),2)</f>
        <v>0.77</v>
      </c>
      <c r="I24" s="181">
        <f t="shared" si="0"/>
        <v>11206.43</v>
      </c>
      <c r="J24" s="181"/>
      <c r="K24" s="182"/>
    </row>
    <row r="25" spans="1:11" ht="30" customHeight="1">
      <c r="A25" s="499" t="str">
        <f>QUANT!B25</f>
        <v>4.2</v>
      </c>
      <c r="B25" s="499" t="s">
        <v>566</v>
      </c>
      <c r="C25" s="499" t="s">
        <v>555</v>
      </c>
      <c r="D25" s="246" t="str">
        <f>QUANT!E25</f>
        <v>Escavacao mecanica de material 1a. categoria, proveniente de corte de subleito (c/trator esteiras 160hp)</v>
      </c>
      <c r="E25" s="499" t="str">
        <f>QUANT!F25</f>
        <v>m³</v>
      </c>
      <c r="F25" s="247">
        <f>QUANT!G25</f>
        <v>16625.302399999993</v>
      </c>
      <c r="G25" s="181">
        <f>'COMP.'!S159</f>
        <v>1.8688026</v>
      </c>
      <c r="H25" s="181">
        <f t="shared" si="1"/>
        <v>2.25</v>
      </c>
      <c r="I25" s="181">
        <f t="shared" si="0"/>
        <v>37406.93</v>
      </c>
      <c r="J25" s="181"/>
      <c r="K25" s="182"/>
    </row>
    <row r="26" spans="1:11" ht="30" customHeight="1">
      <c r="A26" s="499" t="str">
        <f>QUANT!B26</f>
        <v>4.3</v>
      </c>
      <c r="B26" s="499">
        <v>5502137</v>
      </c>
      <c r="C26" s="499" t="s">
        <v>344</v>
      </c>
      <c r="D26" s="246" t="str">
        <f>QUANT!E26</f>
        <v>Escavação, carga e transporte de material de 1ª categoria - DMT de 400 a 600 m - caminho de serviço em revestimento primário - com escavadeira e caminhão basculante de 14 m³</v>
      </c>
      <c r="E26" s="499" t="str">
        <f>QUANT!F26</f>
        <v>m³</v>
      </c>
      <c r="F26" s="247">
        <f>QUANT!G26</f>
        <v>1072.8855999999998</v>
      </c>
      <c r="G26" s="181">
        <v>4.4800000000000004</v>
      </c>
      <c r="H26" s="181">
        <f t="shared" si="1"/>
        <v>5.4</v>
      </c>
      <c r="I26" s="181">
        <f t="shared" si="0"/>
        <v>5793.58</v>
      </c>
      <c r="J26" s="181"/>
      <c r="K26" s="182"/>
    </row>
    <row r="27" spans="1:11" ht="30" customHeight="1">
      <c r="A27" s="499" t="str">
        <f>QUANT!B27</f>
        <v>4.4</v>
      </c>
      <c r="B27" s="499">
        <v>5503041</v>
      </c>
      <c r="C27" s="499" t="s">
        <v>344</v>
      </c>
      <c r="D27" s="246" t="str">
        <f>QUANT!E27</f>
        <v>Compactação de aterros a 100% do Proctor intermediário</v>
      </c>
      <c r="E27" s="499" t="str">
        <f>QUANT!F27</f>
        <v>m³</v>
      </c>
      <c r="F27" s="247">
        <f>QUANT!G27</f>
        <v>932.94399999999996</v>
      </c>
      <c r="G27" s="181">
        <v>6.33</v>
      </c>
      <c r="H27" s="181">
        <f t="shared" si="1"/>
        <v>7.64</v>
      </c>
      <c r="I27" s="181">
        <f t="shared" si="0"/>
        <v>7127.69</v>
      </c>
      <c r="J27" s="181"/>
      <c r="K27" s="182"/>
    </row>
    <row r="28" spans="1:11" ht="30" customHeight="1">
      <c r="A28" s="499" t="str">
        <f>QUANT!B28</f>
        <v>4.5</v>
      </c>
      <c r="B28" s="499">
        <v>93595</v>
      </c>
      <c r="C28" s="499" t="s">
        <v>173</v>
      </c>
      <c r="D28" s="246" t="str">
        <f>QUANT!E28</f>
        <v>Transporte com caminhão basculante de 10 m3, em via urbana em revestimento primário (unidade: txkm). af_04/2016</v>
      </c>
      <c r="E28" s="499" t="str">
        <f>QUANT!F28</f>
        <v>txkm</v>
      </c>
      <c r="F28" s="247">
        <f>QUANT!G28</f>
        <v>134598.44823039995</v>
      </c>
      <c r="G28" s="181">
        <v>1.21</v>
      </c>
      <c r="H28" s="181">
        <f t="shared" si="1"/>
        <v>1.46</v>
      </c>
      <c r="I28" s="181">
        <f t="shared" si="0"/>
        <v>196513.73</v>
      </c>
      <c r="J28" s="181"/>
      <c r="K28" s="182"/>
    </row>
    <row r="29" spans="1:11" ht="30" customHeight="1">
      <c r="A29" s="499" t="str">
        <f>QUANT!B29</f>
        <v>4.6</v>
      </c>
      <c r="B29" s="499">
        <v>95878</v>
      </c>
      <c r="C29" s="499" t="s">
        <v>173</v>
      </c>
      <c r="D29" s="246" t="str">
        <f>QUANT!E29</f>
        <v>Transporte com caminhão basculante de 10 m3, em via urbana pavimentada, dmt até 30 km (unidade: txkm). af_12/2016</v>
      </c>
      <c r="E29" s="499" t="str">
        <f>QUANT!F29</f>
        <v>txkm</v>
      </c>
      <c r="F29" s="247">
        <f>QUANT!G29</f>
        <v>627106.40652799979</v>
      </c>
      <c r="G29" s="181">
        <v>1.1100000000000001</v>
      </c>
      <c r="H29" s="181">
        <f t="shared" si="1"/>
        <v>1.33</v>
      </c>
      <c r="I29" s="181">
        <f t="shared" si="0"/>
        <v>834051.52</v>
      </c>
      <c r="J29" s="181"/>
      <c r="K29" s="182"/>
    </row>
    <row r="30" spans="1:11" ht="30" customHeight="1">
      <c r="A30" s="499" t="str">
        <f>QUANT!B30</f>
        <v>4.7</v>
      </c>
      <c r="B30" s="499" t="s">
        <v>567</v>
      </c>
      <c r="C30" s="499" t="s">
        <v>555</v>
      </c>
      <c r="D30" s="246" t="str">
        <f>QUANT!E30</f>
        <v>Espalhamento de material em bota fora, com utilização de trator de esteiras de 165 hp</v>
      </c>
      <c r="E30" s="499" t="str">
        <f>QUANT!F30</f>
        <v>m³</v>
      </c>
      <c r="F30" s="247">
        <f>QUANT!G30</f>
        <v>17698.187999999995</v>
      </c>
      <c r="G30" s="181">
        <f>'COMP.'!S175</f>
        <v>1.088449158</v>
      </c>
      <c r="H30" s="181">
        <f t="shared" si="1"/>
        <v>1.31</v>
      </c>
      <c r="I30" s="181">
        <f t="shared" si="0"/>
        <v>23184.62</v>
      </c>
      <c r="J30" s="180">
        <f>SUM(I24:I30)</f>
        <v>1115284.5000000002</v>
      </c>
      <c r="K30" s="182"/>
    </row>
    <row r="31" spans="1:11" s="465" customFormat="1" ht="30" customHeight="1">
      <c r="A31" s="499"/>
      <c r="B31" s="499"/>
      <c r="C31" s="499"/>
      <c r="D31" s="230"/>
      <c r="E31" s="499"/>
      <c r="F31" s="247"/>
      <c r="G31" s="181"/>
      <c r="H31" s="181"/>
      <c r="I31" s="181"/>
      <c r="J31" s="180"/>
      <c r="K31" s="182"/>
    </row>
    <row r="32" spans="1:11" s="465" customFormat="1" ht="30" customHeight="1">
      <c r="A32" s="303" t="str">
        <f>QUANT!B32</f>
        <v>5.0</v>
      </c>
      <c r="B32" s="303"/>
      <c r="C32" s="303"/>
      <c r="D32" s="302" t="str">
        <f>QUANT!E32</f>
        <v>PAVIMENTAÇÃO</v>
      </c>
      <c r="E32" s="499"/>
      <c r="F32" s="247"/>
      <c r="G32" s="181"/>
      <c r="H32" s="181"/>
      <c r="I32" s="181"/>
      <c r="J32" s="180"/>
      <c r="K32" s="182"/>
    </row>
    <row r="33" spans="1:11" s="465" customFormat="1" ht="30" customHeight="1">
      <c r="A33" s="499" t="str">
        <f>QUANT!B33</f>
        <v>5.1</v>
      </c>
      <c r="B33" s="499" t="s">
        <v>569</v>
      </c>
      <c r="C33" s="499" t="s">
        <v>555</v>
      </c>
      <c r="D33" s="230" t="str">
        <f>QUANT!E33</f>
        <v>Regularização e compactação de subleito até 20 cm de espessura</v>
      </c>
      <c r="E33" s="499" t="str">
        <f>QUANT!F33</f>
        <v>m²</v>
      </c>
      <c r="F33" s="247">
        <f>QUANT!G33</f>
        <v>38810.199999999997</v>
      </c>
      <c r="G33" s="181">
        <f>'COMP.'!S197</f>
        <v>1.354003061</v>
      </c>
      <c r="H33" s="181">
        <f>TRUNC((G33*(1+($D$5))),2)</f>
        <v>1.63</v>
      </c>
      <c r="I33" s="181">
        <f t="shared" si="0"/>
        <v>63260.62</v>
      </c>
      <c r="J33" s="180"/>
      <c r="K33" s="182"/>
    </row>
    <row r="34" spans="1:11" s="465" customFormat="1" ht="30" customHeight="1">
      <c r="A34" s="499" t="str">
        <f>QUANT!B34</f>
        <v>5.2</v>
      </c>
      <c r="B34" s="499" t="s">
        <v>568</v>
      </c>
      <c r="C34" s="499" t="s">
        <v>174</v>
      </c>
      <c r="D34" s="246" t="str">
        <f>QUANT!E34</f>
        <v>Indenização de jazida não condiz com o preço praticado na região (Preço praticado na jazida)</v>
      </c>
      <c r="E34" s="499" t="str">
        <f>QUANT!F34</f>
        <v>m³</v>
      </c>
      <c r="F34" s="247">
        <f>QUANT!G34</f>
        <v>15621.116999999997</v>
      </c>
      <c r="G34" s="181">
        <v>15</v>
      </c>
      <c r="H34" s="181">
        <f>TRUNC((G34*(1+($D$6))),2)</f>
        <v>17.29</v>
      </c>
      <c r="I34" s="181">
        <f t="shared" si="0"/>
        <v>270089.11</v>
      </c>
      <c r="J34" s="180"/>
      <c r="K34" s="182"/>
    </row>
    <row r="35" spans="1:11" s="465" customFormat="1" ht="30" customHeight="1">
      <c r="A35" s="499" t="str">
        <f>QUANT!B35</f>
        <v>5.3</v>
      </c>
      <c r="B35" s="499" t="s">
        <v>570</v>
      </c>
      <c r="C35" s="499" t="s">
        <v>555</v>
      </c>
      <c r="D35" s="246" t="str">
        <f>QUANT!E35</f>
        <v>Execução e compactação de sub base com solo estabilizado granulometricamente - exclusive escavação, carga e transporte e solo. af_09/2017</v>
      </c>
      <c r="E35" s="499" t="str">
        <f>QUANT!F35</f>
        <v>m³</v>
      </c>
      <c r="F35" s="247">
        <f>QUANT!G35</f>
        <v>5821.5299999999988</v>
      </c>
      <c r="G35" s="181">
        <f>'COMP.'!S223</f>
        <v>8.8579279999999994</v>
      </c>
      <c r="H35" s="181">
        <f t="shared" ref="H35:H43" si="2">TRUNC((G35*(1+($D$5))),2)</f>
        <v>10.69</v>
      </c>
      <c r="I35" s="181">
        <f t="shared" si="0"/>
        <v>62232.15</v>
      </c>
      <c r="J35" s="180"/>
      <c r="K35" s="182"/>
    </row>
    <row r="36" spans="1:11" s="465" customFormat="1" ht="30" customHeight="1">
      <c r="A36" s="499" t="str">
        <f>QUANT!B36</f>
        <v>5.4</v>
      </c>
      <c r="B36" s="499" t="s">
        <v>571</v>
      </c>
      <c r="C36" s="499" t="s">
        <v>555</v>
      </c>
      <c r="D36" s="246" t="str">
        <f>QUANT!E36</f>
        <v>Execução e compactação de base com solo estabilizado granulometricamente - exclusive escavação, carga e transporte e solo. af_09/2017</v>
      </c>
      <c r="E36" s="499" t="str">
        <f>QUANT!F36</f>
        <v>m³</v>
      </c>
      <c r="F36" s="247">
        <f>QUANT!G36</f>
        <v>7762.0499999999993</v>
      </c>
      <c r="G36" s="181">
        <f>'COMP.'!S248</f>
        <v>8.8579279999999994</v>
      </c>
      <c r="H36" s="181">
        <f t="shared" si="2"/>
        <v>10.69</v>
      </c>
      <c r="I36" s="181">
        <f t="shared" si="0"/>
        <v>82976.31</v>
      </c>
      <c r="J36" s="180"/>
      <c r="K36" s="182"/>
    </row>
    <row r="37" spans="1:11" s="465" customFormat="1" ht="30" customHeight="1">
      <c r="A37" s="499" t="str">
        <f>QUANT!B37</f>
        <v>5.5</v>
      </c>
      <c r="B37" s="499" t="s">
        <v>572</v>
      </c>
      <c r="C37" s="499" t="s">
        <v>555</v>
      </c>
      <c r="D37" s="230" t="str">
        <f>QUANT!E37</f>
        <v>Execução de imprimação com asfalto diluído CM-30. af_09/2017</v>
      </c>
      <c r="E37" s="499" t="str">
        <f>QUANT!F37</f>
        <v>m²</v>
      </c>
      <c r="F37" s="247">
        <f>QUANT!G37</f>
        <v>31048.140000000003</v>
      </c>
      <c r="G37" s="181">
        <f>'COMP.'!S268</f>
        <v>8.7357030000000009</v>
      </c>
      <c r="H37" s="181">
        <f t="shared" si="2"/>
        <v>10.54</v>
      </c>
      <c r="I37" s="181">
        <f t="shared" si="0"/>
        <v>327247.39</v>
      </c>
      <c r="J37" s="180"/>
      <c r="K37" s="182"/>
    </row>
    <row r="38" spans="1:11" s="465" customFormat="1" ht="30" customHeight="1">
      <c r="A38" s="499" t="str">
        <f>QUANT!B38</f>
        <v>5.6</v>
      </c>
      <c r="B38" s="499" t="s">
        <v>573</v>
      </c>
      <c r="C38" s="499" t="s">
        <v>555</v>
      </c>
      <c r="D38" s="230" t="str">
        <f>QUANT!E38</f>
        <v>Pintura de ligação com emulsão RR-2C</v>
      </c>
      <c r="E38" s="499" t="str">
        <f>QUANT!F38</f>
        <v>m²</v>
      </c>
      <c r="F38" s="247">
        <f>QUANT!G38</f>
        <v>31048.140000000003</v>
      </c>
      <c r="G38" s="181">
        <f>'COMP.'!S286</f>
        <v>2.557445</v>
      </c>
      <c r="H38" s="181">
        <f t="shared" si="2"/>
        <v>3.08</v>
      </c>
      <c r="I38" s="181">
        <f t="shared" si="0"/>
        <v>95628.27</v>
      </c>
      <c r="J38" s="180"/>
      <c r="K38" s="182"/>
    </row>
    <row r="39" spans="1:11" ht="30" customHeight="1">
      <c r="A39" s="499" t="str">
        <f>QUANT!B39</f>
        <v>5.7</v>
      </c>
      <c r="B39" s="499" t="s">
        <v>574</v>
      </c>
      <c r="C39" s="499" t="s">
        <v>555</v>
      </c>
      <c r="D39" s="246" t="str">
        <f>QUANT!E39</f>
        <v>Construção de pavimento com aplicação de concreto betuminoso usinado a quente (cbuq), camada de rolamento, com espessura de 3,0 cm  exclusive transporte. af_03/2017</v>
      </c>
      <c r="E39" s="499" t="str">
        <f>QUANT!F39</f>
        <v>m³</v>
      </c>
      <c r="F39" s="247">
        <f>QUANT!G39</f>
        <v>931.44419999999991</v>
      </c>
      <c r="G39" s="181">
        <f>'COMP.'!S310</f>
        <v>1306.0098410000001</v>
      </c>
      <c r="H39" s="181">
        <f t="shared" si="2"/>
        <v>1576.35</v>
      </c>
      <c r="I39" s="181">
        <f t="shared" si="0"/>
        <v>1468282.06</v>
      </c>
      <c r="J39" s="180"/>
      <c r="K39" s="182"/>
    </row>
    <row r="40" spans="1:11" ht="30" customHeight="1">
      <c r="A40" s="499" t="str">
        <f>QUANT!B40</f>
        <v>5.8</v>
      </c>
      <c r="B40" s="499" t="s">
        <v>612</v>
      </c>
      <c r="C40" s="499" t="s">
        <v>555</v>
      </c>
      <c r="D40" s="246" t="str">
        <f>QUANT!E40</f>
        <v>Carga e descarga de material betuminoso a quente com caminhão basculante 6m3, descarga em vibro-acabadora</v>
      </c>
      <c r="E40" s="499" t="str">
        <f>QUANT!F40</f>
        <v>m³</v>
      </c>
      <c r="F40" s="247">
        <f>QUANT!G40</f>
        <v>931.44419999999991</v>
      </c>
      <c r="G40" s="181">
        <f>'COMP.'!S324</f>
        <v>6.2946239999999998</v>
      </c>
      <c r="H40" s="181">
        <f t="shared" si="2"/>
        <v>7.59</v>
      </c>
      <c r="I40" s="181">
        <f t="shared" si="0"/>
        <v>7069.66</v>
      </c>
      <c r="J40" s="180"/>
      <c r="K40" s="182"/>
    </row>
    <row r="41" spans="1:11" ht="30" customHeight="1">
      <c r="A41" s="499" t="str">
        <f>QUANT!B41</f>
        <v>5.9</v>
      </c>
      <c r="B41" s="499">
        <v>93595</v>
      </c>
      <c r="C41" s="499" t="s">
        <v>173</v>
      </c>
      <c r="D41" s="246" t="str">
        <f>QUANT!E41</f>
        <v>Transporte com caminhão basculante de 10 m3, em via urbana em revestimento primário (unidade: tonxkm). af_04/2016</v>
      </c>
      <c r="E41" s="499" t="str">
        <f>QUANT!F41</f>
        <v>txkm</v>
      </c>
      <c r="F41" s="247">
        <f>QUANT!G41</f>
        <v>109972.66368</v>
      </c>
      <c r="G41" s="181">
        <v>1.21</v>
      </c>
      <c r="H41" s="181">
        <f t="shared" si="2"/>
        <v>1.46</v>
      </c>
      <c r="I41" s="181">
        <f t="shared" si="0"/>
        <v>160560.07999999999</v>
      </c>
      <c r="J41" s="180"/>
      <c r="K41" s="182"/>
    </row>
    <row r="42" spans="1:11" ht="30" customHeight="1">
      <c r="A42" s="499" t="str">
        <f>QUANT!B42</f>
        <v>5.10</v>
      </c>
      <c r="B42" s="499">
        <v>95878</v>
      </c>
      <c r="C42" s="499" t="s">
        <v>173</v>
      </c>
      <c r="D42" s="246" t="str">
        <f>QUANT!E42</f>
        <v>Transporte com caminhão basculante de 10 m3, em via urbana pavimentada, dmt até 30 km (unidade: tonxkm). af_12/2016</v>
      </c>
      <c r="E42" s="499" t="str">
        <f>QUANT!F42</f>
        <v>txkm</v>
      </c>
      <c r="F42" s="247">
        <f>QUANT!G42</f>
        <v>512372.6375999999</v>
      </c>
      <c r="G42" s="181">
        <v>1.1100000000000001</v>
      </c>
      <c r="H42" s="181">
        <f t="shared" si="2"/>
        <v>1.33</v>
      </c>
      <c r="I42" s="181">
        <f t="shared" si="0"/>
        <v>681455.6</v>
      </c>
      <c r="J42" s="180"/>
      <c r="K42" s="182"/>
    </row>
    <row r="43" spans="1:11" ht="30" customHeight="1">
      <c r="A43" s="499" t="str">
        <f>QUANT!B43</f>
        <v>5.11</v>
      </c>
      <c r="B43" s="499" t="s">
        <v>576</v>
      </c>
      <c r="C43" s="499" t="s">
        <v>555</v>
      </c>
      <c r="D43" s="246" t="str">
        <f>QUANT!E43</f>
        <v>Transporte com caminhão basculante 10 m3 de massa asfáltica para pavimentação urbana</v>
      </c>
      <c r="E43" s="499" t="str">
        <f>QUANT!F43</f>
        <v>m³xkm</v>
      </c>
      <c r="F43" s="247">
        <f>QUANT!G43</f>
        <v>8010.42</v>
      </c>
      <c r="G43" s="181">
        <f>'COMP.'!S339</f>
        <v>1.070658168</v>
      </c>
      <c r="H43" s="181">
        <f t="shared" si="2"/>
        <v>1.29</v>
      </c>
      <c r="I43" s="181">
        <f t="shared" si="0"/>
        <v>10333.44</v>
      </c>
      <c r="J43" s="180">
        <f>SUM(I33:I43)</f>
        <v>3229134.6900000004</v>
      </c>
      <c r="K43" s="182"/>
    </row>
    <row r="44" spans="1:11" ht="30" customHeight="1">
      <c r="A44" s="499"/>
      <c r="B44" s="499"/>
      <c r="C44" s="499"/>
      <c r="D44" s="230"/>
      <c r="E44" s="499"/>
      <c r="F44" s="247"/>
      <c r="G44" s="181"/>
      <c r="H44" s="181"/>
      <c r="I44" s="181"/>
      <c r="J44" s="181"/>
      <c r="K44" s="182"/>
    </row>
    <row r="45" spans="1:11" ht="30" customHeight="1">
      <c r="A45" s="303" t="str">
        <f>QUANT!B45</f>
        <v>6.0</v>
      </c>
      <c r="B45" s="303"/>
      <c r="C45" s="303"/>
      <c r="D45" s="302" t="str">
        <f>QUANT!E45</f>
        <v>SINALIZAÇÃO HORIZONTAL/VERTICAL</v>
      </c>
      <c r="E45" s="499"/>
      <c r="F45" s="247"/>
      <c r="G45" s="181"/>
      <c r="H45" s="181"/>
      <c r="I45" s="181"/>
      <c r="J45" s="181"/>
      <c r="K45" s="182"/>
    </row>
    <row r="46" spans="1:11" ht="30" customHeight="1">
      <c r="A46" s="499" t="str">
        <f>QUANT!B46</f>
        <v>6.1</v>
      </c>
      <c r="B46" s="499" t="s">
        <v>577</v>
      </c>
      <c r="C46" s="499" t="s">
        <v>555</v>
      </c>
      <c r="D46" s="246" t="str">
        <f>QUANT!E46</f>
        <v>Sinalizacao horizontal com tinta retrorrefletiva a base de resina acrilica  c/ micro esfera de vidro</v>
      </c>
      <c r="E46" s="499" t="str">
        <f>QUANT!F46</f>
        <v>m²</v>
      </c>
      <c r="F46" s="247">
        <f>QUANT!G46</f>
        <v>1150.8021266666667</v>
      </c>
      <c r="G46" s="181">
        <f>'COMP.'!S360</f>
        <v>16.110144009999999</v>
      </c>
      <c r="H46" s="181">
        <f>TRUNC((G46*(1+($D$5))),2)</f>
        <v>19.440000000000001</v>
      </c>
      <c r="I46" s="181">
        <f t="shared" si="0"/>
        <v>22371.59</v>
      </c>
      <c r="J46" s="181"/>
      <c r="K46" s="182"/>
    </row>
    <row r="47" spans="1:11" ht="30" customHeight="1">
      <c r="A47" s="499" t="str">
        <f>QUANT!B47</f>
        <v>6.2</v>
      </c>
      <c r="B47" s="499">
        <v>5213405</v>
      </c>
      <c r="C47" s="499" t="s">
        <v>344</v>
      </c>
      <c r="D47" s="230" t="str">
        <f>QUANT!E47</f>
        <v>Pintura de setas e zebrados - tinta base acrílica - espessura de 0,6 mm</v>
      </c>
      <c r="E47" s="499" t="str">
        <f>QUANT!F47</f>
        <v>m²</v>
      </c>
      <c r="F47" s="247">
        <f>QUANT!G47</f>
        <v>136.14999999999998</v>
      </c>
      <c r="G47" s="181">
        <v>42.85</v>
      </c>
      <c r="H47" s="181">
        <f>TRUNC((G47*(1+($D$5))),2)</f>
        <v>51.71</v>
      </c>
      <c r="I47" s="181">
        <f t="shared" si="0"/>
        <v>7040.31</v>
      </c>
      <c r="J47" s="181"/>
      <c r="K47" s="182"/>
    </row>
    <row r="48" spans="1:11" ht="30" customHeight="1">
      <c r="A48" s="499" t="str">
        <f>QUANT!B48</f>
        <v>6.3</v>
      </c>
      <c r="B48" s="499">
        <v>5213417</v>
      </c>
      <c r="C48" s="499" t="s">
        <v>344</v>
      </c>
      <c r="D48" s="246" t="str">
        <f>QUANT!E48</f>
        <v>Confecção de placa em aço nº 16 galvanizado, com película retrorrefletiva tipo I + III</v>
      </c>
      <c r="E48" s="499" t="str">
        <f>QUANT!F48</f>
        <v>m²</v>
      </c>
      <c r="F48" s="247">
        <f>QUANT!G48</f>
        <v>9.9050000000000011</v>
      </c>
      <c r="G48" s="181">
        <v>369.62</v>
      </c>
      <c r="H48" s="181">
        <f>TRUNC((G48*(1+($D$5))),2)</f>
        <v>446.13</v>
      </c>
      <c r="I48" s="181">
        <f t="shared" si="0"/>
        <v>4418.91</v>
      </c>
      <c r="J48" s="180"/>
      <c r="K48" s="182"/>
    </row>
    <row r="49" spans="1:17" ht="30" customHeight="1">
      <c r="A49" s="499" t="str">
        <f>QUANT!B49</f>
        <v>6.4</v>
      </c>
      <c r="B49" s="499">
        <v>5213855</v>
      </c>
      <c r="C49" s="499" t="s">
        <v>344</v>
      </c>
      <c r="D49" s="246" t="str">
        <f>QUANT!E49</f>
        <v>Fornecimento e implantação de suporte metálico galvanizado para placa de regulamentação - R1 - lado de 0,248 m</v>
      </c>
      <c r="E49" s="499"/>
      <c r="F49" s="247">
        <f>QUANT!G49</f>
        <v>35</v>
      </c>
      <c r="G49" s="181">
        <v>273.38</v>
      </c>
      <c r="H49" s="181">
        <f>TRUNC((G49*(1+($D$5))),2)</f>
        <v>329.96</v>
      </c>
      <c r="I49" s="181">
        <f t="shared" si="0"/>
        <v>11548.6</v>
      </c>
      <c r="J49" s="180">
        <f>SUM(I46:I49)</f>
        <v>45379.409999999996</v>
      </c>
      <c r="K49" s="182"/>
    </row>
    <row r="50" spans="1:17" ht="30" customHeight="1">
      <c r="A50" s="499"/>
      <c r="B50" s="499"/>
      <c r="C50" s="499"/>
      <c r="D50" s="230"/>
      <c r="E50" s="499"/>
      <c r="F50" s="247"/>
      <c r="G50" s="181"/>
      <c r="H50" s="181"/>
      <c r="I50" s="181"/>
      <c r="J50" s="181"/>
      <c r="K50" s="182"/>
      <c r="M50" s="310"/>
      <c r="N50" s="310"/>
      <c r="O50" s="310"/>
      <c r="P50" s="310"/>
      <c r="Q50" s="310"/>
    </row>
    <row r="51" spans="1:17" ht="30" customHeight="1">
      <c r="A51" s="303" t="str">
        <f>QUANT!B51</f>
        <v>7.0</v>
      </c>
      <c r="B51" s="303"/>
      <c r="C51" s="303"/>
      <c r="D51" s="302" t="str">
        <f>QUANT!E51</f>
        <v>OBRAS COMPLEMENTARES</v>
      </c>
      <c r="E51" s="499"/>
      <c r="F51" s="247"/>
      <c r="G51" s="181"/>
      <c r="H51" s="181"/>
      <c r="I51" s="181"/>
      <c r="J51" s="181"/>
      <c r="K51" s="182"/>
      <c r="M51" s="309"/>
      <c r="N51" s="309"/>
      <c r="O51" s="309"/>
      <c r="P51" s="309"/>
      <c r="Q51" s="309"/>
    </row>
    <row r="52" spans="1:17" ht="30" customHeight="1">
      <c r="A52" s="499" t="str">
        <f>QUANT!B52</f>
        <v>7.1</v>
      </c>
      <c r="B52" s="499">
        <v>94267</v>
      </c>
      <c r="C52" s="499" t="s">
        <v>173</v>
      </c>
      <c r="D52" s="246" t="str">
        <f>QUANT!E52</f>
        <v>Guia (meio-fio) e sarjeta conjugados de concreto, moldada i n loco em trecho reto com extrusora, guia 13 cm base x 22 cm altura. af_06/2016</v>
      </c>
      <c r="E52" s="499" t="str">
        <f>QUANT!F52</f>
        <v>m</v>
      </c>
      <c r="F52" s="247">
        <f>QUANT!G52</f>
        <v>8692.5369999999984</v>
      </c>
      <c r="G52" s="181">
        <v>50.05</v>
      </c>
      <c r="H52" s="181">
        <f>TRUNC((G52*(1+($D$5))),2)</f>
        <v>60.41</v>
      </c>
      <c r="I52" s="181">
        <f t="shared" si="0"/>
        <v>525116.16000000003</v>
      </c>
      <c r="J52" s="181"/>
      <c r="K52" s="182"/>
      <c r="M52" s="309"/>
      <c r="N52" s="309"/>
      <c r="O52" s="309"/>
      <c r="P52" s="309"/>
      <c r="Q52" s="309"/>
    </row>
    <row r="53" spans="1:17" ht="30" customHeight="1">
      <c r="A53" s="499" t="str">
        <f>QUANT!B53</f>
        <v>7.2</v>
      </c>
      <c r="B53" s="499">
        <v>94268</v>
      </c>
      <c r="C53" s="499" t="s">
        <v>173</v>
      </c>
      <c r="D53" s="246" t="str">
        <f>QUANT!E53</f>
        <v>Guia (meio-fio) e sarjeta conjugados de concreto, moldada i n loco em trecho curvo com extrusora, guia 13 cm base x 22 cm altura. af_06/2016</v>
      </c>
      <c r="E53" s="499" t="str">
        <f>QUANT!F53</f>
        <v>m</v>
      </c>
      <c r="F53" s="247">
        <f>QUANT!G53</f>
        <v>693.00699999999995</v>
      </c>
      <c r="G53" s="181">
        <v>53.9</v>
      </c>
      <c r="H53" s="181">
        <f>TRUNC((G53*(1+($D$5))),2)</f>
        <v>65.05</v>
      </c>
      <c r="I53" s="181">
        <f t="shared" si="0"/>
        <v>45080.1</v>
      </c>
      <c r="J53" s="181"/>
      <c r="K53" s="182"/>
      <c r="M53" s="309"/>
      <c r="N53" s="309"/>
      <c r="O53" s="309"/>
      <c r="P53" s="309"/>
      <c r="Q53" s="309"/>
    </row>
    <row r="54" spans="1:17" s="122" customFormat="1" ht="30" customHeight="1">
      <c r="A54" s="499" t="str">
        <f>QUANT!B54</f>
        <v>7.3</v>
      </c>
      <c r="B54" s="499" t="s">
        <v>578</v>
      </c>
      <c r="C54" s="499" t="s">
        <v>555</v>
      </c>
      <c r="D54" s="246" t="str">
        <f>QUANT!E54</f>
        <v>Placa esmaltada para identificação NR de Rua, dimensões 45X25cm</v>
      </c>
      <c r="E54" s="499" t="str">
        <f>QUANT!F54</f>
        <v>unid</v>
      </c>
      <c r="F54" s="247">
        <f>QUANT!G54</f>
        <v>70</v>
      </c>
      <c r="G54" s="181">
        <f>'COMP.'!S376</f>
        <v>81.781999999999996</v>
      </c>
      <c r="H54" s="181">
        <f>TRUNC((G54*(1+($D$5))),2)</f>
        <v>98.71</v>
      </c>
      <c r="I54" s="181">
        <f t="shared" si="0"/>
        <v>6909.7</v>
      </c>
      <c r="J54" s="180">
        <f>SUM(I52:I54)</f>
        <v>577105.96</v>
      </c>
      <c r="K54" s="182"/>
    </row>
    <row r="55" spans="1:17" ht="30" customHeight="1">
      <c r="A55" s="499"/>
      <c r="B55" s="499"/>
      <c r="C55" s="499"/>
      <c r="D55" s="246"/>
      <c r="E55" s="499"/>
      <c r="F55" s="247"/>
      <c r="G55" s="181"/>
      <c r="H55" s="181"/>
      <c r="I55" s="181"/>
      <c r="J55" s="181"/>
      <c r="K55" s="182"/>
    </row>
    <row r="56" spans="1:17" ht="30" customHeight="1">
      <c r="A56" s="303" t="str">
        <f>QUANT!B56</f>
        <v>8.0</v>
      </c>
      <c r="B56" s="303"/>
      <c r="C56" s="303"/>
      <c r="D56" s="302" t="str">
        <f>QUANT!E56</f>
        <v>DRENAGEM</v>
      </c>
      <c r="E56" s="499"/>
      <c r="F56" s="247"/>
      <c r="G56" s="181"/>
      <c r="H56" s="181"/>
      <c r="I56" s="181"/>
      <c r="J56" s="180"/>
      <c r="K56" s="182"/>
    </row>
    <row r="57" spans="1:17" ht="30" customHeight="1">
      <c r="A57" s="499" t="str">
        <f>QUANT!B57</f>
        <v>8.1</v>
      </c>
      <c r="B57" s="499">
        <v>5213417</v>
      </c>
      <c r="C57" s="499" t="s">
        <v>344</v>
      </c>
      <c r="D57" s="246" t="str">
        <f>QUANT!E57</f>
        <v>Confecção de placa em aço nº 16 galvanizado, com película retrorrefletiva tipo I + III</v>
      </c>
      <c r="E57" s="499" t="str">
        <f>QUANT!F57</f>
        <v>m²</v>
      </c>
      <c r="F57" s="247">
        <f>QUANT!G57</f>
        <v>20</v>
      </c>
      <c r="G57" s="181">
        <v>369.62</v>
      </c>
      <c r="H57" s="181">
        <f>TRUNC((G57*(1+($D$5))),2)</f>
        <v>446.13</v>
      </c>
      <c r="I57" s="181">
        <f t="shared" si="0"/>
        <v>8922.6</v>
      </c>
      <c r="J57" s="180"/>
      <c r="K57" s="182"/>
    </row>
    <row r="58" spans="1:17" ht="30" customHeight="1">
      <c r="A58" s="499" t="str">
        <f>QUANT!B58</f>
        <v>8.2</v>
      </c>
      <c r="B58" s="499" t="s">
        <v>579</v>
      </c>
      <c r="C58" s="499" t="s">
        <v>555</v>
      </c>
      <c r="D58" s="246" t="str">
        <f>QUANT!E58</f>
        <v>Isolamento de obra com tela plástica com malha de 5mm e estrutura de madeira pontaleteada</v>
      </c>
      <c r="E58" s="499" t="str">
        <f>QUANT!F58</f>
        <v>m²</v>
      </c>
      <c r="F58" s="247">
        <f>QUANT!G58</f>
        <v>10</v>
      </c>
      <c r="G58" s="181">
        <f>'COMP.'!S395</f>
        <v>22.540500000000002</v>
      </c>
      <c r="H58" s="181">
        <f t="shared" ref="H58:H68" si="3">TRUNC((G58*(1+($D$5))),2)</f>
        <v>27.2</v>
      </c>
      <c r="I58" s="181">
        <f t="shared" ref="I58:I68" si="4">TRUNC(F58*H58,2)</f>
        <v>272</v>
      </c>
      <c r="J58" s="180"/>
      <c r="K58" s="182"/>
    </row>
    <row r="59" spans="1:17" ht="30" customHeight="1">
      <c r="A59" s="499" t="str">
        <f>QUANT!B59</f>
        <v>8.3</v>
      </c>
      <c r="B59" s="499" t="s">
        <v>580</v>
      </c>
      <c r="C59" s="499" t="s">
        <v>555</v>
      </c>
      <c r="D59" s="246" t="str">
        <f>QUANT!E59</f>
        <v>Passadicos de madeira para pedestres</v>
      </c>
      <c r="E59" s="499" t="str">
        <f>QUANT!F59</f>
        <v>m²</v>
      </c>
      <c r="F59" s="247">
        <f>QUANT!G59</f>
        <v>10</v>
      </c>
      <c r="G59" s="181">
        <f>'COMP.'!S413</f>
        <v>66.509514999999993</v>
      </c>
      <c r="H59" s="181">
        <f t="shared" si="3"/>
        <v>80.27</v>
      </c>
      <c r="I59" s="181">
        <f t="shared" si="4"/>
        <v>802.7</v>
      </c>
      <c r="J59" s="180"/>
      <c r="K59" s="182"/>
    </row>
    <row r="60" spans="1:17" ht="38.25">
      <c r="A60" s="499" t="str">
        <f>QUANT!B60</f>
        <v>8.4</v>
      </c>
      <c r="B60" s="499">
        <v>90082</v>
      </c>
      <c r="C60" s="499" t="s">
        <v>173</v>
      </c>
      <c r="D60" s="246" t="str">
        <f>QUANT!E60</f>
        <v>Escavação mecanizada de vala com prof. até 1,5 m (média entre montante e jusante/uma composição por trecho), com retroescavadeira (0,26 m3/88 hp), larg. de 1,5 m a 2,5 m, em solo de 1a categoria, em locais com alto nível de interferência. af_01/2015</v>
      </c>
      <c r="E60" s="499" t="str">
        <f>QUANT!F60</f>
        <v>m³</v>
      </c>
      <c r="F60" s="247">
        <f>QUANT!G60</f>
        <v>5147.1950000000024</v>
      </c>
      <c r="G60" s="181">
        <v>9</v>
      </c>
      <c r="H60" s="181">
        <f t="shared" si="3"/>
        <v>10.86</v>
      </c>
      <c r="I60" s="181">
        <f t="shared" si="4"/>
        <v>55898.53</v>
      </c>
      <c r="J60" s="180"/>
      <c r="K60" s="182"/>
    </row>
    <row r="61" spans="1:17" ht="30" customHeight="1">
      <c r="A61" s="499" t="str">
        <f>QUANT!B61</f>
        <v>8.5</v>
      </c>
      <c r="B61" s="499" t="s">
        <v>581</v>
      </c>
      <c r="C61" s="499" t="s">
        <v>555</v>
      </c>
      <c r="D61" s="246" t="str">
        <f>QUANT!E61</f>
        <v>Regularização e compactação manual de terreno (fundo de vala)</v>
      </c>
      <c r="E61" s="499" t="str">
        <f>QUANT!F61</f>
        <v>m²</v>
      </c>
      <c r="F61" s="247">
        <f>QUANT!G61</f>
        <v>2548.2799999999993</v>
      </c>
      <c r="G61" s="181">
        <f>'COMP.'!S430</f>
        <v>4.9443199999999994</v>
      </c>
      <c r="H61" s="181">
        <f t="shared" si="3"/>
        <v>5.96</v>
      </c>
      <c r="I61" s="181">
        <f t="shared" si="4"/>
        <v>15187.74</v>
      </c>
      <c r="J61" s="180"/>
      <c r="K61" s="182"/>
    </row>
    <row r="62" spans="1:17" ht="30" customHeight="1">
      <c r="A62" s="499" t="str">
        <f>QUANT!B62</f>
        <v>8.6</v>
      </c>
      <c r="B62" s="499" t="s">
        <v>586</v>
      </c>
      <c r="C62" s="499" t="s">
        <v>555</v>
      </c>
      <c r="D62" s="246" t="str">
        <f>QUANT!E62</f>
        <v>Fornecimento e aplicação de Lastro de Brita  (com preparo de fundo de valas)</v>
      </c>
      <c r="E62" s="499" t="str">
        <f>QUANT!F62</f>
        <v>m³</v>
      </c>
      <c r="F62" s="247">
        <f>QUANT!G62</f>
        <v>254.82799999999995</v>
      </c>
      <c r="G62" s="181">
        <f>'COMP.'!S448</f>
        <v>210.21309000000002</v>
      </c>
      <c r="H62" s="181">
        <f t="shared" si="3"/>
        <v>253.72</v>
      </c>
      <c r="I62" s="181">
        <f t="shared" si="4"/>
        <v>64654.96</v>
      </c>
      <c r="J62" s="180"/>
      <c r="K62" s="182"/>
    </row>
    <row r="63" spans="1:17" ht="38.25">
      <c r="A63" s="499" t="str">
        <f>QUANT!B63</f>
        <v>8.7</v>
      </c>
      <c r="B63" s="499">
        <v>93377</v>
      </c>
      <c r="C63" s="499" t="s">
        <v>173</v>
      </c>
      <c r="D63" s="246" t="str">
        <f>QUANT!E63</f>
        <v>Reaterro mecanizado de vala com retroescavadeira (capacidade da caçamb a da retro: 0,26 m³ / potência: 88 hp), largura de 0,8 a 1,5 m, profun didade de 1,5 a 3,0 m, com solo (sem substituição) de 1ª categoria em locais com alto nível de interferência. af_04/2016</v>
      </c>
      <c r="E63" s="499" t="str">
        <f>QUANT!F63</f>
        <v>m³</v>
      </c>
      <c r="F63" s="247">
        <f>QUANT!G63</f>
        <v>3853.1836140800024</v>
      </c>
      <c r="G63" s="181">
        <v>8.35</v>
      </c>
      <c r="H63" s="181">
        <f t="shared" si="3"/>
        <v>10.07</v>
      </c>
      <c r="I63" s="181">
        <f t="shared" si="4"/>
        <v>38801.550000000003</v>
      </c>
      <c r="J63" s="180"/>
      <c r="K63" s="182"/>
    </row>
    <row r="64" spans="1:17" ht="30" customHeight="1">
      <c r="A64" s="499" t="str">
        <f>QUANT!B64</f>
        <v>8.8</v>
      </c>
      <c r="B64" s="499">
        <v>93595</v>
      </c>
      <c r="C64" s="499" t="s">
        <v>173</v>
      </c>
      <c r="D64" s="246" t="str">
        <f>QUANT!E64</f>
        <v>Transporte com caminhão basculante de 10 m3, em via urbana em revestimento primário (unidade: tonxkm). af_04/2016</v>
      </c>
      <c r="E64" s="499" t="str">
        <f>QUANT!F64</f>
        <v>txkm</v>
      </c>
      <c r="F64" s="247">
        <f>QUANT!G64</f>
        <v>9128.8098444083207</v>
      </c>
      <c r="G64" s="181">
        <v>1.21</v>
      </c>
      <c r="H64" s="181">
        <f t="shared" si="3"/>
        <v>1.46</v>
      </c>
      <c r="I64" s="181">
        <f t="shared" si="4"/>
        <v>13328.06</v>
      </c>
      <c r="J64" s="180"/>
      <c r="K64" s="182"/>
    </row>
    <row r="65" spans="1:11" ht="30" customHeight="1">
      <c r="A65" s="499" t="str">
        <f>QUANT!B65</f>
        <v>8.9</v>
      </c>
      <c r="B65" s="499">
        <v>95878</v>
      </c>
      <c r="C65" s="499" t="s">
        <v>173</v>
      </c>
      <c r="D65" s="246" t="str">
        <f>QUANT!E65</f>
        <v>Transporte com caminhão basculante de 10 m3, em via urbana pavimentada, dmt até 30 km (unidade: tonxkm). af_12/2016</v>
      </c>
      <c r="E65" s="499" t="str">
        <f>QUANT!F65</f>
        <v>txkm</v>
      </c>
      <c r="F65" s="247">
        <f>QUANT!G65</f>
        <v>42531.954956902402</v>
      </c>
      <c r="G65" s="181">
        <v>1.1100000000000001</v>
      </c>
      <c r="H65" s="181">
        <f t="shared" si="3"/>
        <v>1.33</v>
      </c>
      <c r="I65" s="181">
        <f t="shared" si="4"/>
        <v>56567.5</v>
      </c>
      <c r="J65" s="180"/>
      <c r="K65" s="182"/>
    </row>
    <row r="66" spans="1:11" ht="30" customHeight="1">
      <c r="A66" s="499" t="str">
        <f>QUANT!B66</f>
        <v>8.10</v>
      </c>
      <c r="B66" s="499" t="s">
        <v>584</v>
      </c>
      <c r="C66" s="499" t="s">
        <v>555</v>
      </c>
      <c r="D66" s="246" t="str">
        <f>QUANT!E66</f>
        <v>Carga e descarga mecânica de solo utilizando caminhão basculante 6m³/16t e pa carregadeira sobre pneus * 128 hp * cap. até 2,8m3</v>
      </c>
      <c r="E66" s="499" t="str">
        <f>QUANT!F66</f>
        <v>m³</v>
      </c>
      <c r="F66" s="247">
        <f>QUANT!G66</f>
        <v>1127.5703859199998</v>
      </c>
      <c r="G66" s="181">
        <f>'COMP.'!S464</f>
        <v>1.75</v>
      </c>
      <c r="H66" s="181">
        <f t="shared" si="3"/>
        <v>2.11</v>
      </c>
      <c r="I66" s="181">
        <f t="shared" si="4"/>
        <v>2379.17</v>
      </c>
      <c r="J66" s="180"/>
      <c r="K66" s="182"/>
    </row>
    <row r="67" spans="1:11" ht="30" customHeight="1">
      <c r="A67" s="499" t="str">
        <f>QUANT!B67</f>
        <v>8.11</v>
      </c>
      <c r="B67" s="499" t="s">
        <v>583</v>
      </c>
      <c r="C67" s="499" t="s">
        <v>555</v>
      </c>
      <c r="D67" s="246" t="str">
        <f>QUANT!E67</f>
        <v>Espalhamento de material em bota fora, com utilizacao de trator de esteiras de 165 HP</v>
      </c>
      <c r="E67" s="499" t="str">
        <f>QUANT!F67</f>
        <v>m³</v>
      </c>
      <c r="F67" s="247">
        <f>QUANT!G67</f>
        <v>1127.5703859199998</v>
      </c>
      <c r="G67" s="181">
        <f>'COMP.'!S479</f>
        <v>0</v>
      </c>
      <c r="H67" s="181">
        <f t="shared" si="3"/>
        <v>0</v>
      </c>
      <c r="I67" s="181">
        <f t="shared" si="4"/>
        <v>0</v>
      </c>
      <c r="J67" s="180"/>
      <c r="K67" s="182"/>
    </row>
    <row r="68" spans="1:11" ht="30" customHeight="1">
      <c r="A68" s="499" t="str">
        <f>QUANT!B68</f>
        <v>8.12</v>
      </c>
      <c r="B68" s="499" t="s">
        <v>582</v>
      </c>
      <c r="C68" s="499" t="s">
        <v>555</v>
      </c>
      <c r="D68" s="246" t="str">
        <f>QUANT!E68</f>
        <v>Escoramento de vala, tipo pontaleteamento, com profundidade de 0 a 1,5 m, largura maior ou igual a 1,5 m e menor que 2,5 m, em local com nível alto de interferência. af_06/2016</v>
      </c>
      <c r="E68" s="499" t="str">
        <f>QUANT!F68</f>
        <v>m²</v>
      </c>
      <c r="F68" s="247">
        <f>QUANT!G68</f>
        <v>312.40000000000003</v>
      </c>
      <c r="G68" s="181">
        <f>'COMP.'!S498</f>
        <v>0</v>
      </c>
      <c r="H68" s="181">
        <f t="shared" si="3"/>
        <v>0</v>
      </c>
      <c r="I68" s="181">
        <f t="shared" si="4"/>
        <v>0</v>
      </c>
      <c r="J68" s="180"/>
      <c r="K68" s="182"/>
    </row>
    <row r="69" spans="1:11" ht="30" customHeight="1">
      <c r="A69" s="499" t="str">
        <f>QUANT!B69</f>
        <v>8.13</v>
      </c>
      <c r="B69" s="499">
        <v>4915670</v>
      </c>
      <c r="C69" s="499" t="s">
        <v>344</v>
      </c>
      <c r="D69" s="246" t="str">
        <f>QUANT!E69</f>
        <v>Remoção manual de camada granular do pavimento (mat. Inservível)</v>
      </c>
      <c r="E69" s="499" t="str">
        <f>QUANT!F69</f>
        <v>m³</v>
      </c>
      <c r="F69" s="247">
        <f>QUANT!G69</f>
        <v>27.95</v>
      </c>
      <c r="G69" s="181">
        <v>151.06</v>
      </c>
      <c r="H69" s="181">
        <f>TRUNC((G69*(1+($D$5))),2)</f>
        <v>182.32</v>
      </c>
      <c r="I69" s="181">
        <f>TRUNC(F69*H69,2)</f>
        <v>5095.84</v>
      </c>
      <c r="J69" s="180">
        <f>SUM(I57:I69)</f>
        <v>261910.65000000002</v>
      </c>
      <c r="K69" s="182"/>
    </row>
    <row r="70" spans="1:11" ht="30" customHeight="1">
      <c r="A70" s="499"/>
      <c r="B70" s="499"/>
      <c r="C70" s="499"/>
      <c r="D70" s="246"/>
      <c r="E70" s="499"/>
      <c r="F70" s="247"/>
      <c r="G70" s="181"/>
      <c r="H70" s="181"/>
      <c r="I70" s="181"/>
      <c r="J70" s="180"/>
      <c r="K70" s="182"/>
    </row>
    <row r="71" spans="1:11" s="196" customFormat="1" ht="30" customHeight="1">
      <c r="A71" s="303" t="str">
        <f>QUANT!B71</f>
        <v>9.0</v>
      </c>
      <c r="B71" s="303"/>
      <c r="C71" s="303"/>
      <c r="D71" s="311" t="str">
        <f>QUANT!E71</f>
        <v>FORNECIMENTO DE TUBOS TIPO PA-1</v>
      </c>
      <c r="E71" s="303"/>
      <c r="F71" s="247"/>
      <c r="G71" s="181"/>
      <c r="H71" s="181"/>
      <c r="I71" s="181"/>
      <c r="J71" s="180"/>
      <c r="K71" s="182"/>
    </row>
    <row r="72" spans="1:11" ht="30" customHeight="1">
      <c r="A72" s="499" t="str">
        <f>QUANT!B72</f>
        <v>9.1</v>
      </c>
      <c r="B72" s="499" t="s">
        <v>613</v>
      </c>
      <c r="C72" s="499" t="s">
        <v>173</v>
      </c>
      <c r="D72" s="246" t="str">
        <f>QUANT!E72</f>
        <v>Tubo de concreto armado para aguas pluviais, classe PA-1, com encaixe ponta e bolsa, diametro nominal de 600 mm</v>
      </c>
      <c r="E72" s="499" t="str">
        <f>QUANT!F72</f>
        <v>m</v>
      </c>
      <c r="F72" s="247">
        <f>QUANT!G72</f>
        <v>1373</v>
      </c>
      <c r="G72" s="181">
        <v>199</v>
      </c>
      <c r="H72" s="181">
        <f>TRUNC((G72*(1+($D$6))),2)</f>
        <v>229.38</v>
      </c>
      <c r="I72" s="181">
        <f>TRUNC(F72*H72,2)</f>
        <v>314938.74</v>
      </c>
      <c r="J72" s="180"/>
      <c r="K72" s="182"/>
    </row>
    <row r="73" spans="1:11" ht="30" customHeight="1">
      <c r="A73" s="499" t="str">
        <f>QUANT!B73</f>
        <v>9.2</v>
      </c>
      <c r="B73" s="499" t="s">
        <v>614</v>
      </c>
      <c r="C73" s="499" t="s">
        <v>173</v>
      </c>
      <c r="D73" s="246" t="str">
        <f>QUANT!E73</f>
        <v>Tubo de concreto armado para aguas pluviais, classe PA-1, com encaixe ponta e bolsa, diametro nominal de 800 mm</v>
      </c>
      <c r="E73" s="499" t="str">
        <f>QUANT!F73</f>
        <v>m</v>
      </c>
      <c r="F73" s="247">
        <f>QUANT!G73</f>
        <v>155</v>
      </c>
      <c r="G73" s="181">
        <v>331.1</v>
      </c>
      <c r="H73" s="181">
        <f>TRUNC((G73*(1+($D$6))),2)</f>
        <v>381.65</v>
      </c>
      <c r="I73" s="181">
        <f>TRUNC(F73*H73,2)</f>
        <v>59155.75</v>
      </c>
      <c r="J73" s="180"/>
      <c r="K73" s="182"/>
    </row>
    <row r="74" spans="1:11" ht="30" customHeight="1">
      <c r="A74" s="499" t="str">
        <f>QUANT!B74</f>
        <v>9.3</v>
      </c>
      <c r="B74" s="499" t="s">
        <v>615</v>
      </c>
      <c r="C74" s="499" t="s">
        <v>173</v>
      </c>
      <c r="D74" s="246" t="str">
        <f>QUANT!E74</f>
        <v>Tubo de concreto armado para aguas pluviais, classe PA-1, com encaixe ponta e bolsa, diametro nominal de 1000 mm</v>
      </c>
      <c r="E74" s="499" t="str">
        <f>QUANT!F74</f>
        <v>m</v>
      </c>
      <c r="F74" s="247">
        <f>QUANT!G74</f>
        <v>34</v>
      </c>
      <c r="G74" s="181">
        <v>387.96</v>
      </c>
      <c r="H74" s="181">
        <f>TRUNC((G74*(1+($D$6))),2)</f>
        <v>447.2</v>
      </c>
      <c r="I74" s="181">
        <f>TRUNC(F74*H74,2)</f>
        <v>15204.8</v>
      </c>
      <c r="J74" s="180">
        <f>SUM(I72:I74)</f>
        <v>389299.29</v>
      </c>
      <c r="K74" s="182"/>
    </row>
    <row r="75" spans="1:11" ht="30" customHeight="1">
      <c r="A75" s="499"/>
      <c r="B75" s="499"/>
      <c r="C75" s="499"/>
      <c r="D75" s="246"/>
      <c r="E75" s="499"/>
      <c r="F75" s="247"/>
      <c r="G75" s="181"/>
      <c r="H75" s="181"/>
      <c r="I75" s="181"/>
      <c r="J75" s="180"/>
      <c r="K75" s="182"/>
    </row>
    <row r="76" spans="1:11" s="196" customFormat="1" ht="30" customHeight="1">
      <c r="A76" s="303" t="str">
        <f>QUANT!B76</f>
        <v>10.0</v>
      </c>
      <c r="B76" s="303"/>
      <c r="C76" s="303"/>
      <c r="D76" s="311" t="str">
        <f>QUANT!E76</f>
        <v xml:space="preserve">ASSENTAMENTO E REJUNTAMENTO DE TUBO DE CONCRETO </v>
      </c>
      <c r="E76" s="303"/>
      <c r="F76" s="247"/>
      <c r="G76" s="181"/>
      <c r="H76" s="181"/>
      <c r="I76" s="181"/>
      <c r="J76" s="180"/>
      <c r="K76" s="182"/>
    </row>
    <row r="77" spans="1:11" ht="30" customHeight="1">
      <c r="A77" s="499" t="str">
        <f>QUANT!B77</f>
        <v>10.1</v>
      </c>
      <c r="B77" s="499">
        <v>92824</v>
      </c>
      <c r="C77" s="499" t="s">
        <v>173</v>
      </c>
      <c r="D77" s="246" t="str">
        <f>QUANT!E77</f>
        <v>Assentamento de tubo de concreto para redes coletoras de águas pluviai s, diâmetro de 600 mm, junta rígida, instalado em local com alto nível</v>
      </c>
      <c r="E77" s="499" t="str">
        <f>QUANT!F77</f>
        <v>m</v>
      </c>
      <c r="F77" s="247">
        <f>QUANT!G77</f>
        <v>1373</v>
      </c>
      <c r="G77" s="181">
        <v>72.400000000000006</v>
      </c>
      <c r="H77" s="181">
        <f>TRUNC((G77*(1+($D$5))),2)</f>
        <v>87.38</v>
      </c>
      <c r="I77" s="181">
        <f>TRUNC(F77*H77,2)</f>
        <v>119972.74</v>
      </c>
      <c r="J77" s="180"/>
      <c r="K77" s="182"/>
    </row>
    <row r="78" spans="1:11" ht="30" customHeight="1">
      <c r="A78" s="499" t="str">
        <f>QUANT!B78</f>
        <v>10.2</v>
      </c>
      <c r="B78" s="499">
        <v>92826</v>
      </c>
      <c r="C78" s="499" t="s">
        <v>173</v>
      </c>
      <c r="D78" s="246" t="str">
        <f>QUANT!E78</f>
        <v>Assentamento de tubo de concreto para redes coletoras de águas pluviai s, diâmetro de 800 mm, junta rígida, instalado em local com alto nível</v>
      </c>
      <c r="E78" s="499" t="str">
        <f>QUANT!F78</f>
        <v>m</v>
      </c>
      <c r="F78" s="247">
        <f>QUANT!G78</f>
        <v>155</v>
      </c>
      <c r="G78" s="181">
        <v>97.01</v>
      </c>
      <c r="H78" s="181">
        <f>TRUNC((G78*(1+($D$5))),2)</f>
        <v>117.09</v>
      </c>
      <c r="I78" s="181">
        <f>TRUNC(F78*H78,2)</f>
        <v>18148.95</v>
      </c>
      <c r="J78" s="180"/>
      <c r="K78" s="182"/>
    </row>
    <row r="79" spans="1:11" ht="30" customHeight="1">
      <c r="A79" s="499" t="str">
        <f>QUANT!B79</f>
        <v>10.3</v>
      </c>
      <c r="B79" s="499">
        <v>92828</v>
      </c>
      <c r="C79" s="499" t="s">
        <v>173</v>
      </c>
      <c r="D79" s="246" t="str">
        <f>QUANT!E79</f>
        <v>Assentamento de tubo de concreto para redes coletoras de águas pluviai s, diâmetro de 1000 mm, junta rígida, instalado em local com alto nível</v>
      </c>
      <c r="E79" s="499" t="str">
        <f>QUANT!F79</f>
        <v>m</v>
      </c>
      <c r="F79" s="247">
        <f>QUANT!G79</f>
        <v>34</v>
      </c>
      <c r="G79" s="181">
        <v>126.74</v>
      </c>
      <c r="H79" s="181">
        <f>TRUNC((G79*(1+($D$5))),2)</f>
        <v>152.97</v>
      </c>
      <c r="I79" s="181">
        <f>TRUNC(F79*H79,2)</f>
        <v>5200.9799999999996</v>
      </c>
      <c r="J79" s="180">
        <f>SUM(I77:I79)</f>
        <v>143322.67000000001</v>
      </c>
      <c r="K79" s="182"/>
    </row>
    <row r="80" spans="1:11" ht="30" customHeight="1">
      <c r="A80" s="499"/>
      <c r="B80" s="499"/>
      <c r="C80" s="499"/>
      <c r="D80" s="246"/>
      <c r="E80" s="499"/>
      <c r="F80" s="247"/>
      <c r="G80" s="181"/>
      <c r="H80" s="181"/>
      <c r="I80" s="181"/>
      <c r="J80" s="181"/>
      <c r="K80" s="182"/>
    </row>
    <row r="81" spans="1:11" s="196" customFormat="1" ht="30" customHeight="1">
      <c r="A81" s="303" t="str">
        <f>QUANT!B81</f>
        <v>11.0</v>
      </c>
      <c r="B81" s="303"/>
      <c r="C81" s="303"/>
      <c r="D81" s="311" t="str">
        <f>QUANT!E81</f>
        <v>ÓRGÃOS ACESSÓRIOS</v>
      </c>
      <c r="E81" s="303"/>
      <c r="F81" s="247"/>
      <c r="G81" s="181"/>
      <c r="H81" s="181"/>
      <c r="I81" s="181"/>
      <c r="J81" s="180"/>
      <c r="K81" s="183"/>
    </row>
    <row r="82" spans="1:11" ht="30" customHeight="1">
      <c r="A82" s="499" t="str">
        <f>QUANT!B82</f>
        <v>11.1</v>
      </c>
      <c r="B82" s="499">
        <v>2003644</v>
      </c>
      <c r="C82" s="499" t="s">
        <v>344</v>
      </c>
      <c r="D82" s="246" t="str">
        <f>QUANT!E82</f>
        <v>Caixa de ligação e passagem - CLP 02 - areia e brita comerciais</v>
      </c>
      <c r="E82" s="499" t="str">
        <f>QUANT!F82</f>
        <v>unid</v>
      </c>
      <c r="F82" s="247">
        <f>QUANT!G82</f>
        <v>1</v>
      </c>
      <c r="G82" s="181">
        <v>1211.8800000000001</v>
      </c>
      <c r="H82" s="181">
        <f>TRUNC((G82*(1+($D$5))),2)</f>
        <v>1462.73</v>
      </c>
      <c r="I82" s="181">
        <f>TRUNC(F82*H82,2)</f>
        <v>1462.73</v>
      </c>
      <c r="J82" s="181"/>
      <c r="K82" s="182"/>
    </row>
    <row r="83" spans="1:11" ht="30" customHeight="1">
      <c r="A83" s="499" t="str">
        <f>QUANT!B83</f>
        <v>11.2</v>
      </c>
      <c r="B83" s="499">
        <v>2003680</v>
      </c>
      <c r="C83" s="499" t="s">
        <v>344</v>
      </c>
      <c r="D83" s="246" t="str">
        <f>QUANT!E83</f>
        <v>Poço de visita - PVI 02 - areia e brita comerciais</v>
      </c>
      <c r="E83" s="499" t="str">
        <f>QUANT!F83</f>
        <v>unid</v>
      </c>
      <c r="F83" s="247">
        <f>QUANT!G83</f>
        <v>11</v>
      </c>
      <c r="G83" s="181">
        <v>1684.36</v>
      </c>
      <c r="H83" s="181">
        <f t="shared" ref="H83:H96" si="5">TRUNC((G83*(1+($D$5))),2)</f>
        <v>2033.02</v>
      </c>
      <c r="I83" s="181">
        <f t="shared" ref="I83:I97" si="6">TRUNC(F83*H83,2)</f>
        <v>22363.22</v>
      </c>
      <c r="J83" s="181"/>
      <c r="K83" s="182"/>
    </row>
    <row r="84" spans="1:11" ht="30" customHeight="1">
      <c r="A84" s="499" t="str">
        <f>QUANT!B84</f>
        <v>11.3</v>
      </c>
      <c r="B84" s="499">
        <v>2003682</v>
      </c>
      <c r="C84" s="499" t="s">
        <v>344</v>
      </c>
      <c r="D84" s="246" t="str">
        <f>QUANT!E84</f>
        <v>Poço de visita - PVI 03 - areia e brita comerciais</v>
      </c>
      <c r="E84" s="499" t="str">
        <f>QUANT!F84</f>
        <v>unid</v>
      </c>
      <c r="F84" s="247">
        <f>QUANT!G84</f>
        <v>2</v>
      </c>
      <c r="G84" s="181">
        <v>1928.52</v>
      </c>
      <c r="H84" s="181">
        <f t="shared" si="5"/>
        <v>2327.7199999999998</v>
      </c>
      <c r="I84" s="181">
        <f t="shared" si="6"/>
        <v>4655.4399999999996</v>
      </c>
      <c r="J84" s="181"/>
      <c r="K84" s="182"/>
    </row>
    <row r="85" spans="1:11" ht="30" customHeight="1">
      <c r="A85" s="499" t="str">
        <f>QUANT!B85</f>
        <v>11.4</v>
      </c>
      <c r="B85" s="499">
        <v>2003692</v>
      </c>
      <c r="C85" s="499" t="s">
        <v>344</v>
      </c>
      <c r="D85" s="246" t="str">
        <f>QUANT!E85</f>
        <v>Poço de visita - PVI 08 - areia e brita comerciais</v>
      </c>
      <c r="E85" s="499" t="str">
        <f>QUANT!F85</f>
        <v>unid</v>
      </c>
      <c r="F85" s="247">
        <f>QUANT!G85</f>
        <v>2</v>
      </c>
      <c r="G85" s="181">
        <v>1949.02</v>
      </c>
      <c r="H85" s="181">
        <f t="shared" si="5"/>
        <v>2352.46</v>
      </c>
      <c r="I85" s="181">
        <f t="shared" si="6"/>
        <v>4704.92</v>
      </c>
      <c r="J85" s="181"/>
      <c r="K85" s="182"/>
    </row>
    <row r="86" spans="1:11" ht="30" customHeight="1">
      <c r="A86" s="499" t="str">
        <f>QUANT!B86</f>
        <v>11.5</v>
      </c>
      <c r="B86" s="499">
        <v>2003704</v>
      </c>
      <c r="C86" s="499" t="s">
        <v>344</v>
      </c>
      <c r="D86" s="246" t="str">
        <f>QUANT!E86</f>
        <v>Poço de visita - PVI 14 - areia e brita comerciais</v>
      </c>
      <c r="E86" s="499" t="str">
        <f>QUANT!F86</f>
        <v>unid</v>
      </c>
      <c r="F86" s="247">
        <f>QUANT!G86</f>
        <v>1</v>
      </c>
      <c r="G86" s="181">
        <v>2224.6</v>
      </c>
      <c r="H86" s="181">
        <f t="shared" si="5"/>
        <v>2685.09</v>
      </c>
      <c r="I86" s="181">
        <f t="shared" si="6"/>
        <v>2685.09</v>
      </c>
      <c r="J86" s="181"/>
      <c r="K86" s="182"/>
    </row>
    <row r="87" spans="1:11" ht="30" customHeight="1">
      <c r="A87" s="499" t="str">
        <f>QUANT!B87</f>
        <v>11.6</v>
      </c>
      <c r="B87" s="499">
        <v>2003714</v>
      </c>
      <c r="C87" s="499" t="s">
        <v>344</v>
      </c>
      <c r="D87" s="246" t="str">
        <f>QUANT!E87</f>
        <v>Chaminé dos poços de visita - CPV 01 - areia e brita comerciais</v>
      </c>
      <c r="E87" s="499" t="str">
        <f>QUANT!F87</f>
        <v>unid</v>
      </c>
      <c r="F87" s="247">
        <f>QUANT!G87</f>
        <v>16</v>
      </c>
      <c r="G87" s="181">
        <v>1257.1600000000001</v>
      </c>
      <c r="H87" s="181">
        <f t="shared" si="5"/>
        <v>1517.39</v>
      </c>
      <c r="I87" s="181">
        <f t="shared" si="6"/>
        <v>24278.240000000002</v>
      </c>
      <c r="J87" s="181"/>
      <c r="K87" s="182"/>
    </row>
    <row r="88" spans="1:11" ht="30" customHeight="1">
      <c r="A88" s="499" t="str">
        <f>QUANT!B88</f>
        <v>11.7</v>
      </c>
      <c r="B88" s="499">
        <v>2003449</v>
      </c>
      <c r="C88" s="499" t="s">
        <v>344</v>
      </c>
      <c r="D88" s="246" t="str">
        <f>QUANT!E88</f>
        <v>Dissipador de energia - DEB 01 - areia, brita e pedra de mão comerciais</v>
      </c>
      <c r="E88" s="499" t="str">
        <f>QUANT!F88</f>
        <v>unid</v>
      </c>
      <c r="F88" s="247">
        <f>QUANT!G88</f>
        <v>4</v>
      </c>
      <c r="G88" s="181">
        <v>353.21</v>
      </c>
      <c r="H88" s="181">
        <f t="shared" si="5"/>
        <v>426.32</v>
      </c>
      <c r="I88" s="181">
        <f t="shared" si="6"/>
        <v>1705.28</v>
      </c>
      <c r="J88" s="181"/>
      <c r="K88" s="182"/>
    </row>
    <row r="89" spans="1:11" ht="30" customHeight="1">
      <c r="A89" s="499" t="str">
        <f>QUANT!B89</f>
        <v>11.8</v>
      </c>
      <c r="B89" s="499">
        <v>2003455</v>
      </c>
      <c r="C89" s="499" t="s">
        <v>344</v>
      </c>
      <c r="D89" s="246" t="str">
        <f>QUANT!E89</f>
        <v>Dissipador de energia - DEB 04 - areia, brita e pedra de mão comerciais</v>
      </c>
      <c r="E89" s="499" t="str">
        <f>QUANT!F89</f>
        <v>unid</v>
      </c>
      <c r="F89" s="247">
        <f>QUANT!G89</f>
        <v>2</v>
      </c>
      <c r="G89" s="181">
        <v>1595.74</v>
      </c>
      <c r="H89" s="181">
        <f t="shared" si="5"/>
        <v>1926.05</v>
      </c>
      <c r="I89" s="181">
        <f t="shared" si="6"/>
        <v>3852.1</v>
      </c>
      <c r="J89" s="181"/>
      <c r="K89" s="182"/>
    </row>
    <row r="90" spans="1:11" ht="30" customHeight="1">
      <c r="A90" s="499" t="str">
        <f>QUANT!B90</f>
        <v>11.9</v>
      </c>
      <c r="B90" s="499">
        <v>2003385</v>
      </c>
      <c r="C90" s="499" t="s">
        <v>344</v>
      </c>
      <c r="D90" s="246" t="str">
        <f>QUANT!E90</f>
        <v>Entrada para descida d'água - EDA 01 - areia e brita comerciais</v>
      </c>
      <c r="E90" s="499" t="str">
        <f>QUANT!F90</f>
        <v>unid</v>
      </c>
      <c r="F90" s="247">
        <f>QUANT!G90</f>
        <v>4</v>
      </c>
      <c r="G90" s="181">
        <v>45.64</v>
      </c>
      <c r="H90" s="181">
        <f t="shared" si="5"/>
        <v>55.08</v>
      </c>
      <c r="I90" s="181">
        <f t="shared" si="6"/>
        <v>220.32</v>
      </c>
      <c r="J90" s="181"/>
      <c r="K90" s="182"/>
    </row>
    <row r="91" spans="1:11" ht="30" customHeight="1">
      <c r="A91" s="499" t="str">
        <f>QUANT!B91</f>
        <v>11.10</v>
      </c>
      <c r="B91" s="499">
        <v>2003387</v>
      </c>
      <c r="C91" s="499" t="s">
        <v>344</v>
      </c>
      <c r="D91" s="246" t="str">
        <f>QUANT!E91</f>
        <v>Entrada para descida d'água - EDA 02 - areia e brita comerciais</v>
      </c>
      <c r="E91" s="499" t="str">
        <f>QUANT!F91</f>
        <v>unid</v>
      </c>
      <c r="F91" s="247">
        <f>QUANT!G91</f>
        <v>2</v>
      </c>
      <c r="G91" s="181">
        <v>56.57</v>
      </c>
      <c r="H91" s="181">
        <f t="shared" si="5"/>
        <v>68.27</v>
      </c>
      <c r="I91" s="181">
        <f t="shared" si="6"/>
        <v>136.54</v>
      </c>
      <c r="J91" s="181"/>
      <c r="K91" s="182"/>
    </row>
    <row r="92" spans="1:11" ht="30" customHeight="1">
      <c r="A92" s="499" t="str">
        <f>QUANT!B92</f>
        <v>11.11</v>
      </c>
      <c r="B92" s="499">
        <v>2003391</v>
      </c>
      <c r="C92" s="499" t="s">
        <v>344</v>
      </c>
      <c r="D92" s="246" t="str">
        <f>QUANT!E92</f>
        <v>Descida d'água de aterros tipo rápido - DAR 02 - areia e brita comerciais</v>
      </c>
      <c r="E92" s="499" t="str">
        <f>QUANT!F92</f>
        <v>m</v>
      </c>
      <c r="F92" s="247">
        <f>QUANT!G92</f>
        <v>18</v>
      </c>
      <c r="G92" s="181">
        <v>122.2</v>
      </c>
      <c r="H92" s="181">
        <f t="shared" si="5"/>
        <v>147.49</v>
      </c>
      <c r="I92" s="181">
        <f t="shared" si="6"/>
        <v>2654.82</v>
      </c>
      <c r="J92" s="181"/>
      <c r="K92" s="182"/>
    </row>
    <row r="93" spans="1:11" ht="30" customHeight="1">
      <c r="A93" s="499" t="str">
        <f>QUANT!B93</f>
        <v>11.12</v>
      </c>
      <c r="B93" s="499">
        <v>804385</v>
      </c>
      <c r="C93" s="499" t="s">
        <v>344</v>
      </c>
      <c r="D93" s="246" t="str">
        <f>QUANT!E93</f>
        <v>Boca de BSTC D = 0,80 m - esconsidade 0° - areia e brita comerciais - alas esconsas</v>
      </c>
      <c r="E93" s="499" t="str">
        <f>QUANT!F93</f>
        <v>unid</v>
      </c>
      <c r="F93" s="247">
        <f>QUANT!G93</f>
        <v>2</v>
      </c>
      <c r="G93" s="181">
        <v>1399.54</v>
      </c>
      <c r="H93" s="181">
        <f t="shared" si="5"/>
        <v>1689.24</v>
      </c>
      <c r="I93" s="181">
        <f t="shared" si="6"/>
        <v>3378.48</v>
      </c>
      <c r="J93" s="181"/>
      <c r="K93" s="182"/>
    </row>
    <row r="94" spans="1:11" ht="30" customHeight="1">
      <c r="A94" s="499" t="str">
        <f>QUANT!B94</f>
        <v>11.13</v>
      </c>
      <c r="B94" s="499" t="s">
        <v>534</v>
      </c>
      <c r="C94" s="499" t="s">
        <v>344</v>
      </c>
      <c r="D94" s="246" t="str">
        <f>QUANT!E94</f>
        <v>Boca de BDTC D = 1,00 m - esconsidade 0° - areia e brita comerciais - alas esconsas</v>
      </c>
      <c r="E94" s="499" t="str">
        <f>QUANT!F94</f>
        <v>unid</v>
      </c>
      <c r="F94" s="247">
        <f>QUANT!G94</f>
        <v>2</v>
      </c>
      <c r="G94" s="181">
        <v>3030.24</v>
      </c>
      <c r="H94" s="181">
        <f t="shared" si="5"/>
        <v>3657.49</v>
      </c>
      <c r="I94" s="181">
        <f t="shared" si="6"/>
        <v>7314.98</v>
      </c>
      <c r="J94" s="181"/>
      <c r="K94" s="182"/>
    </row>
    <row r="95" spans="1:11" ht="30" customHeight="1">
      <c r="A95" s="499" t="str">
        <f>QUANT!B95</f>
        <v>11.14</v>
      </c>
      <c r="B95" s="499">
        <v>1600989</v>
      </c>
      <c r="C95" s="499" t="s">
        <v>344</v>
      </c>
      <c r="D95" s="246" t="str">
        <f>QUANT!E95</f>
        <v>Demolição de concreto simples com martelete</v>
      </c>
      <c r="E95" s="499" t="str">
        <f>QUANT!F95</f>
        <v>m³</v>
      </c>
      <c r="F95" s="247">
        <f>QUANT!G95</f>
        <v>2.306</v>
      </c>
      <c r="G95" s="181">
        <v>280.62</v>
      </c>
      <c r="H95" s="181">
        <f t="shared" si="5"/>
        <v>338.7</v>
      </c>
      <c r="I95" s="181">
        <f t="shared" si="6"/>
        <v>781.04</v>
      </c>
      <c r="J95" s="181"/>
      <c r="K95" s="182"/>
    </row>
    <row r="96" spans="1:11" ht="30" customHeight="1">
      <c r="A96" s="499" t="str">
        <f>QUANT!B96</f>
        <v>11.15</v>
      </c>
      <c r="B96" s="499">
        <v>1600404</v>
      </c>
      <c r="C96" s="499" t="s">
        <v>344</v>
      </c>
      <c r="D96" s="246" t="str">
        <f>QUANT!E96</f>
        <v>Remoção de tubos de concreto com diâmetro de 0,40 m a 1,00 m em valas e bueiros</v>
      </c>
      <c r="E96" s="499" t="str">
        <f>QUANT!F96</f>
        <v>m</v>
      </c>
      <c r="F96" s="247">
        <f>QUANT!G96</f>
        <v>14</v>
      </c>
      <c r="G96" s="181">
        <v>7.36</v>
      </c>
      <c r="H96" s="181">
        <f t="shared" si="5"/>
        <v>8.8800000000000008</v>
      </c>
      <c r="I96" s="181">
        <f t="shared" si="6"/>
        <v>124.32</v>
      </c>
      <c r="J96" s="181"/>
      <c r="K96" s="182"/>
    </row>
    <row r="97" spans="1:12" ht="30" customHeight="1">
      <c r="A97" s="499" t="str">
        <f>QUANT!B97</f>
        <v>11.16</v>
      </c>
      <c r="B97" s="499" t="s">
        <v>556</v>
      </c>
      <c r="C97" s="499" t="s">
        <v>555</v>
      </c>
      <c r="D97" s="246" t="str">
        <f>QUANT!E97</f>
        <v>BLD - Boca de lobo dupla, c/abertura pela guia 1,00m - conforme projeto tipo</v>
      </c>
      <c r="E97" s="499" t="str">
        <f>QUANT!F97</f>
        <v>unid</v>
      </c>
      <c r="F97" s="247">
        <f>QUANT!G97</f>
        <v>44</v>
      </c>
      <c r="G97" s="181">
        <f>'COMP.'!S517</f>
        <v>1924.645008</v>
      </c>
      <c r="H97" s="181">
        <f>TRUNC((G97*(1+($D$5))),2)</f>
        <v>2323.04</v>
      </c>
      <c r="I97" s="181">
        <f t="shared" si="6"/>
        <v>102213.75999999999</v>
      </c>
      <c r="J97" s="180">
        <f>SUM(I82:I97)</f>
        <v>182531.28</v>
      </c>
      <c r="K97" s="182"/>
    </row>
    <row r="98" spans="1:12" ht="30" customHeight="1">
      <c r="A98" s="499"/>
      <c r="B98" s="499"/>
      <c r="C98" s="499"/>
      <c r="D98" s="246"/>
      <c r="E98" s="499"/>
      <c r="F98" s="247"/>
      <c r="G98" s="181"/>
      <c r="H98" s="181"/>
      <c r="I98" s="181"/>
      <c r="J98" s="180"/>
      <c r="K98" s="182"/>
    </row>
    <row r="99" spans="1:12" ht="30" customHeight="1">
      <c r="A99" s="499"/>
      <c r="B99" s="499"/>
      <c r="C99" s="499"/>
      <c r="D99" s="230"/>
      <c r="E99" s="499"/>
      <c r="F99" s="247"/>
      <c r="G99" s="181"/>
      <c r="H99" s="247"/>
      <c r="I99" s="304" t="s">
        <v>16</v>
      </c>
      <c r="J99" s="312">
        <f>SUM(J12:J97)</f>
        <v>6451547.6400000015</v>
      </c>
      <c r="L99" s="313"/>
    </row>
    <row r="100" spans="1:12" ht="17.45" customHeight="1">
      <c r="K100" s="87"/>
    </row>
    <row r="101" spans="1:12" ht="17.45" customHeight="1">
      <c r="F101" s="602"/>
      <c r="G101" s="602"/>
      <c r="K101" s="87"/>
    </row>
    <row r="102" spans="1:12" ht="16.7" customHeight="1">
      <c r="F102" s="602"/>
      <c r="G102" s="602"/>
    </row>
    <row r="103" spans="1:12" ht="17.45" customHeight="1">
      <c r="F103" s="123">
        <f>SUM(F8:F97)</f>
        <v>1707565.9344722971</v>
      </c>
      <c r="L103" s="186"/>
    </row>
    <row r="105" spans="1:12" ht="17.45" customHeight="1">
      <c r="F105" s="123">
        <f>F103-QUANT!G103</f>
        <v>0</v>
      </c>
    </row>
    <row r="107" spans="1:12" ht="22.5" customHeight="1">
      <c r="J107" s="87"/>
    </row>
  </sheetData>
  <customSheetViews>
    <customSheetView guid="{E8D46A29-8D28-49CA-936A-9705D639E1C7}">
      <selection activeCell="H4" sqref="H4"/>
      <pageMargins left="0.39370078740157483" right="0.39370078740157483" top="0.98425196850393704" bottom="0.39370078740157483" header="0.51181102362204722" footer="0.51181102362204722"/>
      <printOptions horizontalCentered="1"/>
      <pageSetup paperSize="9" scale="75" orientation="portrait" r:id="rId1"/>
      <headerFooter alignWithMargins="0"/>
    </customSheetView>
  </customSheetViews>
  <mergeCells count="14">
    <mergeCell ref="J3:J4"/>
    <mergeCell ref="F102:G102"/>
    <mergeCell ref="D4:I4"/>
    <mergeCell ref="A1:C4"/>
    <mergeCell ref="A5:C5"/>
    <mergeCell ref="A6:C6"/>
    <mergeCell ref="D1:I1"/>
    <mergeCell ref="D2:I3"/>
    <mergeCell ref="F101:G101"/>
    <mergeCell ref="E5:F6"/>
    <mergeCell ref="G5:G6"/>
    <mergeCell ref="H5:H6"/>
    <mergeCell ref="I5:I6"/>
    <mergeCell ref="J5:J6"/>
  </mergeCells>
  <phoneticPr fontId="0" type="noConversion"/>
  <printOptions horizontalCentered="1"/>
  <pageMargins left="0.39370078740157483" right="0.19685039370078741" top="0.98425196850393704" bottom="0.39370078740157483" header="0.51181102362204722" footer="0.51181102362204722"/>
  <pageSetup paperSize="9" fitToWidth="4" fitToHeight="0" orientation="portrait" r:id="rId2"/>
  <headerFooter alignWithMargins="0"/>
  <ignoredErrors>
    <ignoredError sqref="H34" formula="1"/>
    <ignoredError sqref="B94 B72:B7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J48"/>
  <sheetViews>
    <sheetView zoomScale="85" zoomScaleNormal="85" workbookViewId="0">
      <selection activeCell="F22" sqref="F22"/>
    </sheetView>
  </sheetViews>
  <sheetFormatPr defaultColWidth="9.140625" defaultRowHeight="14.25" customHeight="1"/>
  <cols>
    <col min="1" max="1" width="16.85546875" style="87" customWidth="1"/>
    <col min="2" max="2" width="68.85546875" style="87" customWidth="1"/>
    <col min="3" max="3" width="12.7109375" style="87" customWidth="1"/>
    <col min="4" max="4" width="12.140625" style="87" customWidth="1"/>
    <col min="5" max="5" width="8" style="87" customWidth="1"/>
    <col min="6" max="6" width="13.42578125" style="87" bestFit="1" customWidth="1"/>
    <col min="7" max="7" width="9.140625" style="87"/>
    <col min="8" max="8" width="15.5703125" style="87" customWidth="1"/>
    <col min="9" max="9" width="9.28515625" style="121" bestFit="1" customWidth="1"/>
    <col min="10" max="10" width="21.5703125" style="87" customWidth="1"/>
    <col min="11" max="16384" width="9.140625" style="87"/>
  </cols>
  <sheetData>
    <row r="1" spans="1:10" ht="31.5" customHeight="1">
      <c r="A1" s="639" t="str">
        <f>QUANT!B4</f>
        <v>LOGRADOUROS</v>
      </c>
      <c r="B1" s="592" t="str">
        <f>QUANT!D4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C1" s="593"/>
      <c r="D1" s="593"/>
      <c r="E1" s="593"/>
      <c r="F1" s="593"/>
      <c r="G1" s="593"/>
      <c r="H1" s="593"/>
      <c r="I1" s="593"/>
      <c r="J1" s="594"/>
    </row>
    <row r="2" spans="1:10" ht="18.75" customHeight="1">
      <c r="A2" s="640"/>
      <c r="B2" s="595"/>
      <c r="C2" s="596"/>
      <c r="D2" s="596"/>
      <c r="E2" s="596"/>
      <c r="F2" s="596"/>
      <c r="G2" s="596"/>
      <c r="H2" s="596"/>
      <c r="I2" s="596"/>
      <c r="J2" s="597"/>
    </row>
    <row r="3" spans="1:10" ht="23.25" customHeight="1" thickBot="1">
      <c r="A3" s="432" t="str">
        <f>'ORÇA '!A23</f>
        <v>4.0</v>
      </c>
      <c r="B3" s="211" t="str">
        <f>'ORÇA '!D23</f>
        <v>TERRAPLENAGEM</v>
      </c>
      <c r="C3" s="212"/>
      <c r="D3" s="212"/>
      <c r="E3" s="212"/>
      <c r="F3" s="212"/>
      <c r="G3" s="212"/>
      <c r="H3" s="212"/>
      <c r="I3" s="213"/>
      <c r="J3" s="214"/>
    </row>
    <row r="4" spans="1:10" ht="23.25" customHeight="1" thickBot="1">
      <c r="A4" s="215" t="s">
        <v>222</v>
      </c>
      <c r="B4" s="216"/>
      <c r="C4" s="641" t="s">
        <v>348</v>
      </c>
      <c r="D4" s="642"/>
      <c r="E4" s="642"/>
      <c r="F4" s="642"/>
      <c r="G4" s="642"/>
      <c r="H4" s="643"/>
      <c r="I4" s="217"/>
      <c r="J4" s="218"/>
    </row>
    <row r="5" spans="1:10" ht="23.25" customHeight="1">
      <c r="A5" s="219" t="s">
        <v>17</v>
      </c>
      <c r="B5" s="219" t="s">
        <v>18</v>
      </c>
      <c r="C5" s="220" t="s">
        <v>19</v>
      </c>
      <c r="D5" s="220" t="s">
        <v>13</v>
      </c>
      <c r="E5" s="220" t="s">
        <v>20</v>
      </c>
      <c r="F5" s="221" t="s">
        <v>21</v>
      </c>
      <c r="G5" s="221"/>
      <c r="H5" s="222" t="s">
        <v>22</v>
      </c>
      <c r="I5" s="223" t="s">
        <v>23</v>
      </c>
      <c r="J5" s="219" t="s">
        <v>24</v>
      </c>
    </row>
    <row r="6" spans="1:10" ht="23.25" customHeight="1">
      <c r="A6" s="219"/>
      <c r="B6" s="219"/>
      <c r="C6" s="219"/>
      <c r="D6" s="219"/>
      <c r="E6" s="219"/>
      <c r="F6" s="224" t="s">
        <v>25</v>
      </c>
      <c r="G6" s="224" t="s">
        <v>12</v>
      </c>
      <c r="H6" s="225"/>
      <c r="I6" s="223"/>
      <c r="J6" s="219"/>
    </row>
    <row r="7" spans="1:10" ht="23.25" customHeight="1">
      <c r="A7" s="224" t="str">
        <f>QUANT!C25</f>
        <v>Comp. 4.2</v>
      </c>
      <c r="B7" s="226" t="str">
        <f>QUANT!E25</f>
        <v>Escavacao mecanica de material 1a. categoria, proveniente de corte de subleito (c/trator esteiras 160hp)</v>
      </c>
      <c r="C7" s="224" t="s">
        <v>26</v>
      </c>
      <c r="D7" s="227">
        <f>'TERRAP E PAVIM'!O55-('TERRAP E PAVIM'!P55*1.15)</f>
        <v>16625.302399999993</v>
      </c>
      <c r="E7" s="224" t="s">
        <v>4</v>
      </c>
      <c r="F7" s="224">
        <v>1.84</v>
      </c>
      <c r="G7" s="224" t="s">
        <v>27</v>
      </c>
      <c r="H7" s="228">
        <f>D7*F7</f>
        <v>30590.556415999989</v>
      </c>
      <c r="I7" s="229">
        <f>1.5+2.9</f>
        <v>4.4000000000000004</v>
      </c>
      <c r="J7" s="218">
        <f>H7*I7</f>
        <v>134598.44823039995</v>
      </c>
    </row>
    <row r="8" spans="1:10" ht="23.25" customHeight="1">
      <c r="A8" s="224" t="s">
        <v>16</v>
      </c>
      <c r="B8" s="230"/>
      <c r="C8" s="230"/>
      <c r="D8" s="230"/>
      <c r="E8" s="230"/>
      <c r="F8" s="230"/>
      <c r="G8" s="230"/>
      <c r="H8" s="230"/>
      <c r="I8" s="231"/>
      <c r="J8" s="232">
        <f>SUM(J7:J7)</f>
        <v>134598.44823039995</v>
      </c>
    </row>
    <row r="9" spans="1:10" ht="12" customHeight="1" thickBot="1">
      <c r="A9" s="233"/>
      <c r="B9" s="234"/>
      <c r="C9" s="234"/>
      <c r="D9" s="234"/>
      <c r="E9" s="234"/>
      <c r="F9" s="234"/>
      <c r="G9" s="234"/>
      <c r="H9" s="234"/>
      <c r="I9" s="235"/>
      <c r="J9" s="236"/>
    </row>
    <row r="10" spans="1:10" ht="23.25" customHeight="1" thickBot="1">
      <c r="A10" s="215" t="s">
        <v>223</v>
      </c>
      <c r="B10" s="216"/>
      <c r="C10" s="641" t="str">
        <f>C4</f>
        <v>BAIRRO MARIA ISABEL</v>
      </c>
      <c r="D10" s="642"/>
      <c r="E10" s="642"/>
      <c r="F10" s="642"/>
      <c r="G10" s="642"/>
      <c r="H10" s="643"/>
      <c r="I10" s="231"/>
      <c r="J10" s="218"/>
    </row>
    <row r="11" spans="1:10" ht="23.25" customHeight="1">
      <c r="A11" s="219" t="s">
        <v>17</v>
      </c>
      <c r="B11" s="219" t="s">
        <v>18</v>
      </c>
      <c r="C11" s="219" t="s">
        <v>19</v>
      </c>
      <c r="D11" s="219" t="s">
        <v>13</v>
      </c>
      <c r="E11" s="219" t="s">
        <v>20</v>
      </c>
      <c r="F11" s="224" t="s">
        <v>21</v>
      </c>
      <c r="G11" s="224"/>
      <c r="H11" s="225" t="s">
        <v>22</v>
      </c>
      <c r="I11" s="223" t="s">
        <v>23</v>
      </c>
      <c r="J11" s="219" t="s">
        <v>24</v>
      </c>
    </row>
    <row r="12" spans="1:10" ht="23.25" customHeight="1">
      <c r="A12" s="219"/>
      <c r="B12" s="219"/>
      <c r="C12" s="219"/>
      <c r="D12" s="219"/>
      <c r="E12" s="219"/>
      <c r="F12" s="224" t="s">
        <v>25</v>
      </c>
      <c r="G12" s="224" t="s">
        <v>12</v>
      </c>
      <c r="H12" s="225"/>
      <c r="I12" s="223"/>
      <c r="J12" s="219"/>
    </row>
    <row r="13" spans="1:10" ht="23.25" customHeight="1">
      <c r="A13" s="224" t="str">
        <f>A7</f>
        <v>Comp. 4.2</v>
      </c>
      <c r="B13" s="226" t="str">
        <f>B7</f>
        <v>Escavacao mecanica de material 1a. categoria, proveniente de corte de subleito (c/trator esteiras 160hp)</v>
      </c>
      <c r="C13" s="224" t="s">
        <v>26</v>
      </c>
      <c r="D13" s="237">
        <f>D7</f>
        <v>16625.302399999993</v>
      </c>
      <c r="E13" s="224" t="s">
        <v>4</v>
      </c>
      <c r="F13" s="224">
        <v>1.84</v>
      </c>
      <c r="G13" s="224" t="s">
        <v>27</v>
      </c>
      <c r="H13" s="228">
        <f>D13*F13</f>
        <v>30590.556415999989</v>
      </c>
      <c r="I13" s="229">
        <v>20.5</v>
      </c>
      <c r="J13" s="218">
        <f>H13*I13</f>
        <v>627106.40652799979</v>
      </c>
    </row>
    <row r="14" spans="1:10" ht="23.25" customHeight="1">
      <c r="A14" s="224" t="s">
        <v>16</v>
      </c>
      <c r="B14" s="230"/>
      <c r="C14" s="230"/>
      <c r="D14" s="230"/>
      <c r="E14" s="230"/>
      <c r="F14" s="230"/>
      <c r="G14" s="230"/>
      <c r="H14" s="230"/>
      <c r="I14" s="231"/>
      <c r="J14" s="232">
        <f>SUM(J13:J13)</f>
        <v>627106.40652799979</v>
      </c>
    </row>
    <row r="15" spans="1:10" ht="12" customHeight="1">
      <c r="A15" s="233"/>
      <c r="B15" s="238"/>
      <c r="C15" s="111"/>
      <c r="D15" s="111"/>
      <c r="E15" s="111"/>
      <c r="F15" s="111"/>
      <c r="G15" s="111"/>
      <c r="H15" s="111"/>
      <c r="I15" s="231"/>
      <c r="J15" s="232"/>
    </row>
    <row r="16" spans="1:10" ht="23.25" customHeight="1" thickBot="1">
      <c r="A16" s="239" t="str">
        <f>'ORÇA '!A32</f>
        <v>5.0</v>
      </c>
      <c r="B16" s="240" t="str">
        <f>'ORÇA '!D32</f>
        <v>PAVIMENTAÇÃO</v>
      </c>
      <c r="C16" s="241"/>
      <c r="D16" s="241"/>
      <c r="E16" s="241"/>
      <c r="F16" s="241"/>
      <c r="G16" s="241"/>
      <c r="H16" s="241"/>
      <c r="I16" s="242"/>
      <c r="J16" s="243"/>
    </row>
    <row r="17" spans="1:10" ht="23.25" customHeight="1" thickBot="1">
      <c r="A17" s="244" t="s">
        <v>220</v>
      </c>
      <c r="B17" s="244"/>
      <c r="C17" s="641" t="str">
        <f>C10</f>
        <v>BAIRRO MARIA ISABEL</v>
      </c>
      <c r="D17" s="642"/>
      <c r="E17" s="642"/>
      <c r="F17" s="642"/>
      <c r="G17" s="642"/>
      <c r="H17" s="643"/>
      <c r="I17" s="245"/>
      <c r="J17" s="244"/>
    </row>
    <row r="18" spans="1:10" ht="25.5">
      <c r="A18" s="219" t="s">
        <v>17</v>
      </c>
      <c r="B18" s="219" t="s">
        <v>18</v>
      </c>
      <c r="C18" s="219" t="s">
        <v>19</v>
      </c>
      <c r="D18" s="219" t="s">
        <v>13</v>
      </c>
      <c r="E18" s="219" t="s">
        <v>20</v>
      </c>
      <c r="F18" s="224" t="s">
        <v>21</v>
      </c>
      <c r="G18" s="224"/>
      <c r="H18" s="219" t="s">
        <v>22</v>
      </c>
      <c r="I18" s="223" t="s">
        <v>23</v>
      </c>
      <c r="J18" s="219" t="s">
        <v>24</v>
      </c>
    </row>
    <row r="19" spans="1:10" ht="17.25" customHeight="1">
      <c r="A19" s="219"/>
      <c r="B19" s="219"/>
      <c r="C19" s="219"/>
      <c r="D19" s="219"/>
      <c r="E19" s="219"/>
      <c r="F19" s="224" t="s">
        <v>25</v>
      </c>
      <c r="G19" s="224" t="s">
        <v>12</v>
      </c>
      <c r="H19" s="219"/>
      <c r="I19" s="223"/>
      <c r="J19" s="219"/>
    </row>
    <row r="20" spans="1:10" ht="38.25" customHeight="1">
      <c r="A20" s="224" t="str">
        <f>QUANT!$C$35</f>
        <v>Comp. 5.3</v>
      </c>
      <c r="B20" s="246" t="str">
        <f>QUANT!$E$35</f>
        <v>Execução e compactação de sub base com solo estabilizado granulometricamente - exclusive escavação, carga e transporte e solo. af_09/2017</v>
      </c>
      <c r="C20" s="224" t="s">
        <v>26</v>
      </c>
      <c r="D20" s="247">
        <f>QUANT!G35</f>
        <v>5821.5299999999988</v>
      </c>
      <c r="E20" s="224" t="s">
        <v>4</v>
      </c>
      <c r="F20" s="224">
        <v>1.84</v>
      </c>
      <c r="G20" s="224" t="s">
        <v>27</v>
      </c>
      <c r="H20" s="248">
        <f>D20*F20</f>
        <v>10711.615199999998</v>
      </c>
      <c r="I20" s="229">
        <f t="shared" ref="I20:I21" si="0">1.5+2.9</f>
        <v>4.4000000000000004</v>
      </c>
      <c r="J20" s="249">
        <f>H20*I20</f>
        <v>47131.106879999999</v>
      </c>
    </row>
    <row r="21" spans="1:10" ht="38.25" customHeight="1">
      <c r="A21" s="224" t="str">
        <f>QUANT!$C$36</f>
        <v>Comp. 5.4</v>
      </c>
      <c r="B21" s="246" t="str">
        <f>QUANT!$E$36</f>
        <v>Execução e compactação de base com solo estabilizado granulometricamente - exclusive escavação, carga e transporte e solo. af_09/2017</v>
      </c>
      <c r="C21" s="224" t="s">
        <v>26</v>
      </c>
      <c r="D21" s="247">
        <f>QUANT!G36</f>
        <v>7762.0499999999993</v>
      </c>
      <c r="E21" s="224" t="s">
        <v>4</v>
      </c>
      <c r="F21" s="224">
        <v>1.84</v>
      </c>
      <c r="G21" s="224" t="s">
        <v>27</v>
      </c>
      <c r="H21" s="248">
        <f>D21*F21</f>
        <v>14282.171999999999</v>
      </c>
      <c r="I21" s="229">
        <f t="shared" si="0"/>
        <v>4.4000000000000004</v>
      </c>
      <c r="J21" s="249">
        <f>H21*I21</f>
        <v>62841.556799999998</v>
      </c>
    </row>
    <row r="22" spans="1:10" ht="23.25" customHeight="1">
      <c r="A22" s="224" t="s">
        <v>16</v>
      </c>
      <c r="B22" s="230"/>
      <c r="C22" s="230"/>
      <c r="D22" s="230"/>
      <c r="E22" s="230"/>
      <c r="F22" s="230"/>
      <c r="G22" s="230"/>
      <c r="H22" s="230"/>
      <c r="I22" s="231"/>
      <c r="J22" s="232">
        <f>SUM(J20:J21)</f>
        <v>109972.66368</v>
      </c>
    </row>
    <row r="23" spans="1:10" ht="17.25" customHeight="1" thickBot="1">
      <c r="A23" s="239"/>
      <c r="B23" s="240"/>
      <c r="C23" s="241"/>
      <c r="D23" s="241"/>
      <c r="E23" s="241"/>
      <c r="F23" s="241"/>
      <c r="G23" s="241"/>
      <c r="H23" s="241"/>
      <c r="I23" s="242"/>
      <c r="J23" s="243"/>
    </row>
    <row r="24" spans="1:10" ht="23.25" customHeight="1" thickBot="1">
      <c r="A24" s="250" t="s">
        <v>219</v>
      </c>
      <c r="B24" s="250"/>
      <c r="C24" s="641" t="str">
        <f>C17</f>
        <v>BAIRRO MARIA ISABEL</v>
      </c>
      <c r="D24" s="642"/>
      <c r="E24" s="642"/>
      <c r="F24" s="642"/>
      <c r="G24" s="642"/>
      <c r="H24" s="643"/>
      <c r="I24" s="231"/>
      <c r="J24" s="218"/>
    </row>
    <row r="25" spans="1:10" ht="23.25" customHeight="1">
      <c r="A25" s="219" t="s">
        <v>17</v>
      </c>
      <c r="B25" s="219" t="s">
        <v>18</v>
      </c>
      <c r="C25" s="219" t="s">
        <v>19</v>
      </c>
      <c r="D25" s="219" t="s">
        <v>13</v>
      </c>
      <c r="E25" s="219" t="s">
        <v>20</v>
      </c>
      <c r="F25" s="224" t="s">
        <v>21</v>
      </c>
      <c r="G25" s="224"/>
      <c r="H25" s="219" t="s">
        <v>22</v>
      </c>
      <c r="I25" s="223" t="s">
        <v>23</v>
      </c>
      <c r="J25" s="219" t="s">
        <v>24</v>
      </c>
    </row>
    <row r="26" spans="1:10" ht="14.25" customHeight="1">
      <c r="A26" s="219"/>
      <c r="B26" s="219"/>
      <c r="C26" s="219"/>
      <c r="D26" s="219"/>
      <c r="E26" s="219"/>
      <c r="F26" s="224" t="s">
        <v>25</v>
      </c>
      <c r="G26" s="224" t="s">
        <v>12</v>
      </c>
      <c r="H26" s="219"/>
      <c r="I26" s="223"/>
      <c r="J26" s="219"/>
    </row>
    <row r="27" spans="1:10" ht="38.25" customHeight="1">
      <c r="A27" s="224" t="str">
        <f>QUANT!$C$35</f>
        <v>Comp. 5.3</v>
      </c>
      <c r="B27" s="246" t="str">
        <f>QUANT!$E$35</f>
        <v>Execução e compactação de sub base com solo estabilizado granulometricamente - exclusive escavação, carga e transporte e solo. af_09/2017</v>
      </c>
      <c r="C27" s="224" t="s">
        <v>26</v>
      </c>
      <c r="D27" s="251">
        <f>D20</f>
        <v>5821.5299999999988</v>
      </c>
      <c r="E27" s="224" t="s">
        <v>4</v>
      </c>
      <c r="F27" s="224">
        <v>1.84</v>
      </c>
      <c r="G27" s="224" t="s">
        <v>27</v>
      </c>
      <c r="H27" s="228">
        <f>D27*F27</f>
        <v>10711.615199999998</v>
      </c>
      <c r="I27" s="229">
        <v>20.5</v>
      </c>
      <c r="J27" s="218">
        <f>H27*I27</f>
        <v>219588.11159999997</v>
      </c>
    </row>
    <row r="28" spans="1:10" ht="38.25" customHeight="1">
      <c r="A28" s="224" t="str">
        <f>QUANT!$C$36</f>
        <v>Comp. 5.4</v>
      </c>
      <c r="B28" s="246" t="str">
        <f>QUANT!$E$36</f>
        <v>Execução e compactação de base com solo estabilizado granulometricamente - exclusive escavação, carga e transporte e solo. af_09/2017</v>
      </c>
      <c r="C28" s="224" t="s">
        <v>26</v>
      </c>
      <c r="D28" s="251">
        <f>D21</f>
        <v>7762.0499999999993</v>
      </c>
      <c r="E28" s="224" t="s">
        <v>4</v>
      </c>
      <c r="F28" s="224">
        <v>1.84</v>
      </c>
      <c r="G28" s="224" t="s">
        <v>27</v>
      </c>
      <c r="H28" s="228">
        <f>D28*F28</f>
        <v>14282.171999999999</v>
      </c>
      <c r="I28" s="229">
        <v>20.5</v>
      </c>
      <c r="J28" s="218">
        <f>H28*I28</f>
        <v>292784.52599999995</v>
      </c>
    </row>
    <row r="29" spans="1:10" ht="23.25" customHeight="1">
      <c r="A29" s="224" t="s">
        <v>16</v>
      </c>
      <c r="B29" s="230"/>
      <c r="C29" s="230"/>
      <c r="D29" s="230"/>
      <c r="E29" s="230"/>
      <c r="F29" s="230"/>
      <c r="G29" s="230"/>
      <c r="H29" s="230"/>
      <c r="I29" s="231"/>
      <c r="J29" s="232">
        <f>SUM(J27:J28)</f>
        <v>512372.6375999999</v>
      </c>
    </row>
    <row r="30" spans="1:10" ht="14.25" customHeight="1" thickBot="1">
      <c r="A30" s="224"/>
      <c r="B30" s="230"/>
      <c r="C30" s="230"/>
      <c r="D30" s="230"/>
      <c r="E30" s="230"/>
      <c r="F30" s="230"/>
      <c r="G30" s="230"/>
      <c r="H30" s="230"/>
      <c r="I30" s="231"/>
      <c r="J30" s="218"/>
    </row>
    <row r="31" spans="1:10" ht="23.25" customHeight="1" thickBot="1">
      <c r="A31" s="244" t="s">
        <v>225</v>
      </c>
      <c r="B31" s="244"/>
      <c r="C31" s="641" t="str">
        <f>C24</f>
        <v>BAIRRO MARIA ISABEL</v>
      </c>
      <c r="D31" s="642"/>
      <c r="E31" s="642"/>
      <c r="F31" s="642"/>
      <c r="G31" s="642"/>
      <c r="H31" s="643"/>
      <c r="I31" s="245"/>
      <c r="J31" s="244"/>
    </row>
    <row r="32" spans="1:10" ht="25.5">
      <c r="A32" s="219" t="s">
        <v>17</v>
      </c>
      <c r="B32" s="219" t="s">
        <v>18</v>
      </c>
      <c r="C32" s="219" t="s">
        <v>19</v>
      </c>
      <c r="D32" s="219" t="s">
        <v>13</v>
      </c>
      <c r="E32" s="219" t="s">
        <v>20</v>
      </c>
      <c r="F32" s="224" t="s">
        <v>21</v>
      </c>
      <c r="G32" s="224"/>
      <c r="H32" s="219" t="s">
        <v>22</v>
      </c>
      <c r="I32" s="223" t="s">
        <v>23</v>
      </c>
      <c r="J32" s="219" t="s">
        <v>176</v>
      </c>
    </row>
    <row r="33" spans="1:10" ht="14.25" customHeight="1">
      <c r="A33" s="219"/>
      <c r="B33" s="219"/>
      <c r="C33" s="219"/>
      <c r="D33" s="219"/>
      <c r="E33" s="219"/>
      <c r="F33" s="224" t="s">
        <v>25</v>
      </c>
      <c r="G33" s="224" t="s">
        <v>12</v>
      </c>
      <c r="H33" s="219"/>
      <c r="I33" s="223"/>
      <c r="J33" s="219"/>
    </row>
    <row r="34" spans="1:10" ht="38.25">
      <c r="A34" s="252" t="str">
        <f>QUANT!C39</f>
        <v>Comp. 5.7</v>
      </c>
      <c r="B34" s="226" t="str">
        <f>QUANT!E39</f>
        <v>Construção de pavimento com aplicação de concreto betuminoso usinado a quente (cbuq), camada de rolamento, com espessura de 3,0 cm  exclusive transporte. af_03/2017</v>
      </c>
      <c r="C34" s="224" t="s">
        <v>59</v>
      </c>
      <c r="D34" s="251">
        <f>QUANT!G39</f>
        <v>931.44419999999991</v>
      </c>
      <c r="E34" s="224" t="s">
        <v>4</v>
      </c>
      <c r="F34" s="253">
        <v>1</v>
      </c>
      <c r="G34" s="224" t="s">
        <v>221</v>
      </c>
      <c r="H34" s="228">
        <f>D34*F34</f>
        <v>931.44419999999991</v>
      </c>
      <c r="I34" s="229">
        <v>8.6</v>
      </c>
      <c r="J34" s="218">
        <f>INT(H34*I34*100)/100</f>
        <v>8010.42</v>
      </c>
    </row>
    <row r="35" spans="1:10" ht="23.25" customHeight="1">
      <c r="A35" s="224" t="s">
        <v>16</v>
      </c>
      <c r="B35" s="230"/>
      <c r="C35" s="230"/>
      <c r="D35" s="230"/>
      <c r="E35" s="230"/>
      <c r="F35" s="230"/>
      <c r="G35" s="230"/>
      <c r="H35" s="230"/>
      <c r="I35" s="231"/>
      <c r="J35" s="232">
        <f>SUM(J34:J34)</f>
        <v>8010.42</v>
      </c>
    </row>
    <row r="36" spans="1:10" ht="14.25" customHeight="1">
      <c r="A36" s="224"/>
      <c r="B36" s="230"/>
      <c r="C36" s="230"/>
      <c r="D36" s="230"/>
      <c r="E36" s="230"/>
      <c r="F36" s="230"/>
      <c r="G36" s="230"/>
      <c r="H36" s="230"/>
      <c r="I36" s="231"/>
      <c r="J36" s="218"/>
    </row>
    <row r="37" spans="1:10" ht="23.25" customHeight="1" thickBot="1">
      <c r="A37" s="254" t="str">
        <f>'ORÇA '!A56</f>
        <v>8.0</v>
      </c>
      <c r="B37" s="254" t="str">
        <f>'ORÇA '!D56</f>
        <v>DRENAGEM</v>
      </c>
      <c r="C37" s="644"/>
      <c r="D37" s="645"/>
      <c r="E37" s="645"/>
      <c r="F37" s="645"/>
      <c r="G37" s="645"/>
      <c r="H37" s="645"/>
      <c r="I37" s="645"/>
      <c r="J37" s="646"/>
    </row>
    <row r="38" spans="1:10" ht="23.25" customHeight="1" thickBot="1">
      <c r="A38" s="244" t="s">
        <v>220</v>
      </c>
      <c r="B38" s="244"/>
      <c r="C38" s="641" t="str">
        <f>C31</f>
        <v>BAIRRO MARIA ISABEL</v>
      </c>
      <c r="D38" s="642"/>
      <c r="E38" s="642"/>
      <c r="F38" s="642"/>
      <c r="G38" s="642"/>
      <c r="H38" s="643"/>
      <c r="I38" s="245"/>
      <c r="J38" s="244"/>
    </row>
    <row r="39" spans="1:10" ht="23.25" customHeight="1">
      <c r="A39" s="219" t="s">
        <v>17</v>
      </c>
      <c r="B39" s="219" t="s">
        <v>18</v>
      </c>
      <c r="C39" s="219" t="s">
        <v>19</v>
      </c>
      <c r="D39" s="219" t="s">
        <v>13</v>
      </c>
      <c r="E39" s="219" t="s">
        <v>20</v>
      </c>
      <c r="F39" s="224" t="s">
        <v>21</v>
      </c>
      <c r="G39" s="224"/>
      <c r="H39" s="219" t="s">
        <v>22</v>
      </c>
      <c r="I39" s="223" t="s">
        <v>23</v>
      </c>
      <c r="J39" s="219" t="s">
        <v>24</v>
      </c>
    </row>
    <row r="40" spans="1:10" ht="15.75" customHeight="1">
      <c r="A40" s="219"/>
      <c r="B40" s="219"/>
      <c r="C40" s="219"/>
      <c r="D40" s="219"/>
      <c r="E40" s="219"/>
      <c r="F40" s="224" t="s">
        <v>25</v>
      </c>
      <c r="G40" s="224" t="s">
        <v>12</v>
      </c>
      <c r="H40" s="219"/>
      <c r="I40" s="223"/>
      <c r="J40" s="219"/>
    </row>
    <row r="41" spans="1:10" ht="23.25" customHeight="1">
      <c r="A41" s="219"/>
      <c r="B41" s="246" t="str">
        <f>'MEMORIAL DE CALCULO'!B113</f>
        <v xml:space="preserve">TOTAL DE BOTA FORA </v>
      </c>
      <c r="C41" s="219" t="s">
        <v>214</v>
      </c>
      <c r="D41" s="251">
        <f>QUANT!G66</f>
        <v>1127.5703859199998</v>
      </c>
      <c r="E41" s="224" t="s">
        <v>4</v>
      </c>
      <c r="F41" s="224">
        <v>1.84</v>
      </c>
      <c r="G41" s="224" t="s">
        <v>27</v>
      </c>
      <c r="H41" s="228">
        <f>D41*F41</f>
        <v>2074.7295100928</v>
      </c>
      <c r="I41" s="229">
        <f>1.5+2.9</f>
        <v>4.4000000000000004</v>
      </c>
      <c r="J41" s="218">
        <f>H41*I41</f>
        <v>9128.8098444083207</v>
      </c>
    </row>
    <row r="42" spans="1:10" ht="23.25" customHeight="1">
      <c r="A42" s="224" t="s">
        <v>16</v>
      </c>
      <c r="B42" s="226"/>
      <c r="C42" s="219"/>
      <c r="D42" s="251"/>
      <c r="E42" s="224"/>
      <c r="F42" s="224"/>
      <c r="G42" s="224"/>
      <c r="H42" s="228"/>
      <c r="I42" s="229"/>
      <c r="J42" s="232">
        <f>J41</f>
        <v>9128.8098444083207</v>
      </c>
    </row>
    <row r="43" spans="1:10" ht="14.25" customHeight="1" thickBot="1">
      <c r="A43" s="230"/>
      <c r="B43" s="230"/>
      <c r="C43" s="230"/>
      <c r="D43" s="230"/>
      <c r="E43" s="230"/>
      <c r="F43" s="230"/>
      <c r="G43" s="230"/>
      <c r="H43" s="230"/>
      <c r="I43" s="231"/>
      <c r="J43" s="230"/>
    </row>
    <row r="44" spans="1:10" ht="23.25" customHeight="1" thickBot="1">
      <c r="A44" s="250" t="s">
        <v>219</v>
      </c>
      <c r="B44" s="250"/>
      <c r="C44" s="641" t="str">
        <f>C38</f>
        <v>BAIRRO MARIA ISABEL</v>
      </c>
      <c r="D44" s="642"/>
      <c r="E44" s="642"/>
      <c r="F44" s="642"/>
      <c r="G44" s="642"/>
      <c r="H44" s="643"/>
      <c r="I44" s="231"/>
      <c r="J44" s="218"/>
    </row>
    <row r="45" spans="1:10" ht="23.25" customHeight="1">
      <c r="A45" s="219" t="s">
        <v>17</v>
      </c>
      <c r="B45" s="219" t="s">
        <v>18</v>
      </c>
      <c r="C45" s="219" t="s">
        <v>19</v>
      </c>
      <c r="D45" s="219" t="s">
        <v>13</v>
      </c>
      <c r="E45" s="219" t="s">
        <v>20</v>
      </c>
      <c r="F45" s="224" t="s">
        <v>21</v>
      </c>
      <c r="G45" s="224"/>
      <c r="H45" s="219" t="s">
        <v>22</v>
      </c>
      <c r="I45" s="223" t="s">
        <v>23</v>
      </c>
      <c r="J45" s="219" t="s">
        <v>24</v>
      </c>
    </row>
    <row r="46" spans="1:10" ht="14.25" customHeight="1">
      <c r="A46" s="219"/>
      <c r="B46" s="219"/>
      <c r="C46" s="219"/>
      <c r="D46" s="219"/>
      <c r="E46" s="219"/>
      <c r="F46" s="224" t="s">
        <v>25</v>
      </c>
      <c r="G46" s="224" t="s">
        <v>12</v>
      </c>
      <c r="H46" s="219"/>
      <c r="I46" s="223"/>
      <c r="J46" s="219"/>
    </row>
    <row r="47" spans="1:10" ht="23.25" customHeight="1">
      <c r="A47" s="219"/>
      <c r="B47" s="226" t="str">
        <f>B41</f>
        <v xml:space="preserve">TOTAL DE BOTA FORA </v>
      </c>
      <c r="C47" s="224" t="s">
        <v>26</v>
      </c>
      <c r="D47" s="251">
        <f>D41</f>
        <v>1127.5703859199998</v>
      </c>
      <c r="E47" s="224" t="s">
        <v>4</v>
      </c>
      <c r="F47" s="224">
        <v>1.84</v>
      </c>
      <c r="G47" s="224" t="s">
        <v>27</v>
      </c>
      <c r="H47" s="228">
        <f>D47*F47</f>
        <v>2074.7295100928</v>
      </c>
      <c r="I47" s="229">
        <v>20.5</v>
      </c>
      <c r="J47" s="218">
        <f>H47*I47</f>
        <v>42531.954956902402</v>
      </c>
    </row>
    <row r="48" spans="1:10" ht="23.25" customHeight="1">
      <c r="A48" s="224" t="s">
        <v>16</v>
      </c>
      <c r="B48" s="230"/>
      <c r="C48" s="230"/>
      <c r="D48" s="230"/>
      <c r="E48" s="230"/>
      <c r="F48" s="230"/>
      <c r="G48" s="230"/>
      <c r="H48" s="230"/>
      <c r="I48" s="231"/>
      <c r="J48" s="232">
        <f>J47</f>
        <v>42531.954956902402</v>
      </c>
    </row>
  </sheetData>
  <customSheetViews>
    <customSheetView guid="{E8D46A29-8D28-49CA-936A-9705D639E1C7}" topLeftCell="A7">
      <selection activeCell="F28" sqref="F28:G28"/>
      <pageMargins left="0.78740157480314965" right="0.78740157480314965" top="0.98425196850393704" bottom="0.98425196850393704" header="0.51181102362204722" footer="0.51181102362204722"/>
      <printOptions horizontalCentered="1"/>
      <pageSetup scale="90" orientation="landscape" horizontalDpi="4294967293" r:id="rId1"/>
      <headerFooter alignWithMargins="0"/>
    </customSheetView>
  </customSheetViews>
  <mergeCells count="10">
    <mergeCell ref="A1:A2"/>
    <mergeCell ref="C4:H4"/>
    <mergeCell ref="B1:J2"/>
    <mergeCell ref="C44:H44"/>
    <mergeCell ref="C31:H31"/>
    <mergeCell ref="C37:J37"/>
    <mergeCell ref="C38:H38"/>
    <mergeCell ref="C10:H10"/>
    <mergeCell ref="C17:H17"/>
    <mergeCell ref="C24:H24"/>
  </mergeCells>
  <phoneticPr fontId="0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0" orientation="landscape" horizontalDpi="4294967293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Y44"/>
  <sheetViews>
    <sheetView zoomScale="90" zoomScaleNormal="90" workbookViewId="0">
      <selection activeCell="AD30" sqref="AD30"/>
    </sheetView>
  </sheetViews>
  <sheetFormatPr defaultColWidth="9.140625" defaultRowHeight="12.75"/>
  <cols>
    <col min="1" max="1" width="5.85546875" style="44" customWidth="1"/>
    <col min="2" max="2" width="6.140625" style="44" customWidth="1"/>
    <col min="3" max="3" width="28.5703125" style="44" customWidth="1"/>
    <col min="4" max="4" width="9.28515625" style="44" customWidth="1"/>
    <col min="5" max="5" width="13.85546875" style="44" customWidth="1"/>
    <col min="6" max="23" width="6.7109375" style="44" customWidth="1"/>
    <col min="24" max="24" width="12.5703125" style="44" bestFit="1" customWidth="1"/>
    <col min="25" max="25" width="18.7109375" style="44" customWidth="1"/>
    <col min="26" max="16384" width="9.140625" style="44"/>
  </cols>
  <sheetData>
    <row r="1" spans="1:25" ht="12.75" customHeight="1">
      <c r="A1" s="708" t="s">
        <v>227</v>
      </c>
      <c r="B1" s="709"/>
      <c r="C1" s="709"/>
      <c r="D1" s="709"/>
      <c r="E1" s="710"/>
      <c r="F1" s="717" t="s">
        <v>42</v>
      </c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9"/>
    </row>
    <row r="2" spans="1:25" ht="12.75" customHeight="1">
      <c r="A2" s="711"/>
      <c r="B2" s="712"/>
      <c r="C2" s="712"/>
      <c r="D2" s="712"/>
      <c r="E2" s="713"/>
      <c r="F2" s="720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721"/>
      <c r="R2" s="721"/>
      <c r="S2" s="721"/>
      <c r="T2" s="721"/>
      <c r="U2" s="721"/>
      <c r="V2" s="721"/>
      <c r="W2" s="722"/>
    </row>
    <row r="3" spans="1:25" ht="12.75" customHeight="1">
      <c r="A3" s="714"/>
      <c r="B3" s="715"/>
      <c r="C3" s="715"/>
      <c r="D3" s="715"/>
      <c r="E3" s="716"/>
      <c r="F3" s="723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5"/>
    </row>
    <row r="4" spans="1:25" ht="18.75">
      <c r="A4" s="726" t="str">
        <f>'TERRAP E PAVIM'!B1</f>
        <v>BAIRRO : MARIA ISABEL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8"/>
    </row>
    <row r="5" spans="1:25" ht="15.75">
      <c r="A5" s="729"/>
      <c r="B5" s="730"/>
      <c r="C5" s="730"/>
      <c r="D5" s="730"/>
      <c r="E5" s="731"/>
      <c r="F5" s="732" t="s">
        <v>129</v>
      </c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  <c r="U5" s="732"/>
      <c r="V5" s="732"/>
      <c r="W5" s="733"/>
    </row>
    <row r="6" spans="1:25">
      <c r="A6" s="179" t="s">
        <v>130</v>
      </c>
      <c r="B6" s="734" t="s">
        <v>131</v>
      </c>
      <c r="C6" s="735"/>
      <c r="D6" s="179" t="s">
        <v>132</v>
      </c>
      <c r="E6" s="179" t="s">
        <v>133</v>
      </c>
      <c r="F6" s="736">
        <v>30</v>
      </c>
      <c r="G6" s="736"/>
      <c r="H6" s="736"/>
      <c r="I6" s="736">
        <v>60</v>
      </c>
      <c r="J6" s="736"/>
      <c r="K6" s="736"/>
      <c r="L6" s="736">
        <v>90</v>
      </c>
      <c r="M6" s="736"/>
      <c r="N6" s="736"/>
      <c r="O6" s="737">
        <v>120</v>
      </c>
      <c r="P6" s="736"/>
      <c r="Q6" s="736"/>
      <c r="R6" s="737">
        <v>150</v>
      </c>
      <c r="S6" s="736"/>
      <c r="T6" s="736"/>
      <c r="U6" s="736">
        <v>180</v>
      </c>
      <c r="V6" s="736"/>
      <c r="W6" s="736"/>
    </row>
    <row r="7" spans="1:25">
      <c r="A7" s="674" t="str">
        <f>RESUMO!B9</f>
        <v>1.0</v>
      </c>
      <c r="B7" s="685" t="str">
        <f>RESUMO!C9</f>
        <v>SERVIÇOS PRELIMINARES</v>
      </c>
      <c r="C7" s="686"/>
      <c r="D7" s="680">
        <f>E7/$E$40*100</f>
        <v>0.71208216328074714</v>
      </c>
      <c r="E7" s="682">
        <f>RESUMO!D9</f>
        <v>45940.32</v>
      </c>
      <c r="F7" s="671">
        <f>$E$7*F9</f>
        <v>20673.144</v>
      </c>
      <c r="G7" s="672"/>
      <c r="H7" s="673"/>
      <c r="I7" s="671">
        <f>$E$7*I9</f>
        <v>13782.096</v>
      </c>
      <c r="J7" s="672"/>
      <c r="K7" s="673"/>
      <c r="L7" s="671">
        <f>$E$7*L9</f>
        <v>4594.0320000000002</v>
      </c>
      <c r="M7" s="672"/>
      <c r="N7" s="673"/>
      <c r="O7" s="671">
        <f>$E$7*O9</f>
        <v>2297.0160000000001</v>
      </c>
      <c r="P7" s="672"/>
      <c r="Q7" s="673"/>
      <c r="R7" s="671">
        <f>$E$7*R9</f>
        <v>2297.0160000000001</v>
      </c>
      <c r="S7" s="672"/>
      <c r="T7" s="673"/>
      <c r="U7" s="671">
        <f>$E$7*U9</f>
        <v>2297.0160000000001</v>
      </c>
      <c r="V7" s="672"/>
      <c r="W7" s="673"/>
      <c r="X7" s="255">
        <f>SUM(F7:W7)</f>
        <v>45940.320000000007</v>
      </c>
      <c r="Y7" s="255">
        <f>X7-E7</f>
        <v>0</v>
      </c>
    </row>
    <row r="8" spans="1:25">
      <c r="A8" s="675"/>
      <c r="B8" s="687"/>
      <c r="C8" s="688"/>
      <c r="D8" s="681"/>
      <c r="E8" s="683"/>
      <c r="F8" s="705"/>
      <c r="G8" s="706"/>
      <c r="H8" s="707"/>
      <c r="I8" s="256"/>
      <c r="J8" s="256"/>
      <c r="K8" s="257"/>
      <c r="L8" s="258"/>
      <c r="M8" s="256"/>
      <c r="N8" s="257"/>
      <c r="O8" s="256"/>
      <c r="P8" s="256"/>
      <c r="Q8" s="257"/>
      <c r="R8" s="256"/>
      <c r="S8" s="256"/>
      <c r="T8" s="256"/>
      <c r="U8" s="705"/>
      <c r="V8" s="706"/>
      <c r="W8" s="707"/>
    </row>
    <row r="9" spans="1:25">
      <c r="A9" s="675"/>
      <c r="B9" s="687"/>
      <c r="C9" s="688"/>
      <c r="D9" s="681"/>
      <c r="E9" s="684"/>
      <c r="F9" s="702">
        <v>0.45</v>
      </c>
      <c r="G9" s="703"/>
      <c r="H9" s="704"/>
      <c r="I9" s="702">
        <v>0.3</v>
      </c>
      <c r="J9" s="703"/>
      <c r="K9" s="704"/>
      <c r="L9" s="702">
        <v>0.1</v>
      </c>
      <c r="M9" s="703"/>
      <c r="N9" s="704"/>
      <c r="O9" s="702">
        <v>0.05</v>
      </c>
      <c r="P9" s="703"/>
      <c r="Q9" s="704"/>
      <c r="R9" s="702">
        <v>0.05</v>
      </c>
      <c r="S9" s="703"/>
      <c r="T9" s="704"/>
      <c r="U9" s="702">
        <v>0.05</v>
      </c>
      <c r="V9" s="703"/>
      <c r="W9" s="704"/>
      <c r="X9" s="259">
        <f>SUM(F9:W9)</f>
        <v>1</v>
      </c>
    </row>
    <row r="10" spans="1:25">
      <c r="A10" s="674" t="str">
        <f>RESUMO!B12</f>
        <v>2.0</v>
      </c>
      <c r="B10" s="685" t="str">
        <f>RESUMO!C12</f>
        <v>ADMINISTRAÇÃO LOCAL</v>
      </c>
      <c r="C10" s="686"/>
      <c r="D10" s="680">
        <f>E10/$E$40*100</f>
        <v>5.6618977396251529</v>
      </c>
      <c r="E10" s="682">
        <f>RESUMO!D12</f>
        <v>365280.03</v>
      </c>
      <c r="F10" s="671">
        <f>$E$10*F12</f>
        <v>63924.005250000002</v>
      </c>
      <c r="G10" s="672"/>
      <c r="H10" s="673"/>
      <c r="I10" s="671">
        <f>$E$10*I12</f>
        <v>60271.204950000007</v>
      </c>
      <c r="J10" s="672"/>
      <c r="K10" s="673"/>
      <c r="L10" s="671">
        <f>$E$10*L12</f>
        <v>60271.204950000007</v>
      </c>
      <c r="M10" s="672"/>
      <c r="N10" s="673"/>
      <c r="O10" s="671">
        <f>$E$10*O12</f>
        <v>60271.204950000007</v>
      </c>
      <c r="P10" s="672"/>
      <c r="Q10" s="673"/>
      <c r="R10" s="671">
        <f>$E$10*R12</f>
        <v>60271.204950000007</v>
      </c>
      <c r="S10" s="672"/>
      <c r="T10" s="673"/>
      <c r="U10" s="671">
        <f>$E$10*U12</f>
        <v>60271.204950000007</v>
      </c>
      <c r="V10" s="672"/>
      <c r="W10" s="673"/>
      <c r="X10" s="255">
        <f>SUM(F10:W10)</f>
        <v>365280.03</v>
      </c>
      <c r="Y10" s="255">
        <f>X10-E10</f>
        <v>0</v>
      </c>
    </row>
    <row r="11" spans="1:25">
      <c r="A11" s="675"/>
      <c r="B11" s="687"/>
      <c r="C11" s="688"/>
      <c r="D11" s="681"/>
      <c r="E11" s="683"/>
      <c r="F11" s="705"/>
      <c r="G11" s="706"/>
      <c r="H11" s="707"/>
      <c r="I11" s="256"/>
      <c r="J11" s="256"/>
      <c r="K11" s="257"/>
      <c r="L11" s="258"/>
      <c r="M11" s="256"/>
      <c r="N11" s="257"/>
      <c r="O11" s="256"/>
      <c r="P11" s="256"/>
      <c r="Q11" s="257"/>
      <c r="R11" s="256"/>
      <c r="S11" s="256"/>
      <c r="T11" s="256"/>
      <c r="U11" s="705"/>
      <c r="V11" s="706"/>
      <c r="W11" s="707"/>
    </row>
    <row r="12" spans="1:25">
      <c r="A12" s="675"/>
      <c r="B12" s="687"/>
      <c r="C12" s="688"/>
      <c r="D12" s="681"/>
      <c r="E12" s="684"/>
      <c r="F12" s="702">
        <v>0.17499999999999999</v>
      </c>
      <c r="G12" s="703"/>
      <c r="H12" s="704"/>
      <c r="I12" s="702">
        <v>0.16500000000000001</v>
      </c>
      <c r="J12" s="703"/>
      <c r="K12" s="704"/>
      <c r="L12" s="702">
        <v>0.16500000000000001</v>
      </c>
      <c r="M12" s="703"/>
      <c r="N12" s="704"/>
      <c r="O12" s="702">
        <v>0.16500000000000001</v>
      </c>
      <c r="P12" s="703"/>
      <c r="Q12" s="704"/>
      <c r="R12" s="702">
        <v>0.16500000000000001</v>
      </c>
      <c r="S12" s="703"/>
      <c r="T12" s="704"/>
      <c r="U12" s="702">
        <v>0.16500000000000001</v>
      </c>
      <c r="V12" s="703"/>
      <c r="W12" s="704"/>
      <c r="X12" s="259">
        <f>SUM(F12:W12)</f>
        <v>1</v>
      </c>
    </row>
    <row r="13" spans="1:25" ht="12.75" customHeight="1">
      <c r="A13" s="674" t="str">
        <f>RESUMO!B15</f>
        <v>3.0</v>
      </c>
      <c r="B13" s="676" t="str">
        <f>RESUMO!C15</f>
        <v>ENSAIOS TECNOLÓGICOS DE SOLO E ASFALTO</v>
      </c>
      <c r="C13" s="677"/>
      <c r="D13" s="680">
        <f>E13/$E$40*100</f>
        <v>1.4935771287275184</v>
      </c>
      <c r="E13" s="682">
        <f>RESUMO!D15</f>
        <v>96358.84</v>
      </c>
      <c r="F13" s="671">
        <f>$E$13*F15</f>
        <v>9635.884</v>
      </c>
      <c r="G13" s="672"/>
      <c r="H13" s="673"/>
      <c r="I13" s="671">
        <f>$E$13*I15</f>
        <v>17344.591199999999</v>
      </c>
      <c r="J13" s="672"/>
      <c r="K13" s="673"/>
      <c r="L13" s="671">
        <f>$E$13*L15</f>
        <v>17344.591199999999</v>
      </c>
      <c r="M13" s="672"/>
      <c r="N13" s="673"/>
      <c r="O13" s="671">
        <f>$E$13*O15</f>
        <v>17344.591199999999</v>
      </c>
      <c r="P13" s="672"/>
      <c r="Q13" s="673"/>
      <c r="R13" s="671">
        <f>$E$13*R15</f>
        <v>17344.591199999999</v>
      </c>
      <c r="S13" s="672"/>
      <c r="T13" s="673"/>
      <c r="U13" s="671">
        <f>$E$13*U15</f>
        <v>17344.591199999999</v>
      </c>
      <c r="V13" s="672"/>
      <c r="W13" s="673"/>
      <c r="X13" s="255">
        <f>SUM(F13:W13)</f>
        <v>96358.839999999982</v>
      </c>
      <c r="Y13" s="255">
        <f>X13-E13</f>
        <v>0</v>
      </c>
    </row>
    <row r="14" spans="1:25">
      <c r="A14" s="675"/>
      <c r="B14" s="678"/>
      <c r="C14" s="679"/>
      <c r="D14" s="681"/>
      <c r="E14" s="683"/>
      <c r="F14" s="705"/>
      <c r="G14" s="706"/>
      <c r="H14" s="707"/>
      <c r="I14" s="256"/>
      <c r="J14" s="256"/>
      <c r="K14" s="257"/>
      <c r="L14" s="258"/>
      <c r="M14" s="256"/>
      <c r="N14" s="257"/>
      <c r="O14" s="256"/>
      <c r="P14" s="256"/>
      <c r="Q14" s="257"/>
      <c r="R14" s="256"/>
      <c r="S14" s="256"/>
      <c r="T14" s="256"/>
      <c r="U14" s="705"/>
      <c r="V14" s="706"/>
      <c r="W14" s="707"/>
    </row>
    <row r="15" spans="1:25">
      <c r="A15" s="675"/>
      <c r="B15" s="678"/>
      <c r="C15" s="679"/>
      <c r="D15" s="681"/>
      <c r="E15" s="684"/>
      <c r="F15" s="702">
        <v>0.1</v>
      </c>
      <c r="G15" s="703"/>
      <c r="H15" s="704"/>
      <c r="I15" s="702">
        <v>0.18</v>
      </c>
      <c r="J15" s="703"/>
      <c r="K15" s="704"/>
      <c r="L15" s="702">
        <v>0.18</v>
      </c>
      <c r="M15" s="703"/>
      <c r="N15" s="704"/>
      <c r="O15" s="702">
        <v>0.18</v>
      </c>
      <c r="P15" s="703"/>
      <c r="Q15" s="704"/>
      <c r="R15" s="702">
        <v>0.18</v>
      </c>
      <c r="S15" s="703"/>
      <c r="T15" s="704"/>
      <c r="U15" s="702">
        <v>0.18</v>
      </c>
      <c r="V15" s="703"/>
      <c r="W15" s="704"/>
      <c r="X15" s="259">
        <f>SUM(F15:W15)</f>
        <v>1</v>
      </c>
    </row>
    <row r="16" spans="1:25">
      <c r="A16" s="674" t="str">
        <f>RESUMO!B18</f>
        <v>4.0</v>
      </c>
      <c r="B16" s="685" t="str">
        <f>RESUMO!C18</f>
        <v>TERRAPLENAGEM</v>
      </c>
      <c r="C16" s="686"/>
      <c r="D16" s="680">
        <f>E16/$E$40*100</f>
        <v>17.287084622690628</v>
      </c>
      <c r="E16" s="682">
        <f>RESUMO!D18</f>
        <v>1115284.5000000002</v>
      </c>
      <c r="F16" s="671">
        <f>$E$16*F18</f>
        <v>111528.45000000003</v>
      </c>
      <c r="G16" s="672"/>
      <c r="H16" s="673"/>
      <c r="I16" s="671">
        <f>$E$16*I18</f>
        <v>334585.35000000003</v>
      </c>
      <c r="J16" s="672"/>
      <c r="K16" s="673"/>
      <c r="L16" s="671">
        <f>$E$16*L18</f>
        <v>334585.35000000003</v>
      </c>
      <c r="M16" s="672"/>
      <c r="N16" s="673"/>
      <c r="O16" s="671">
        <f>$E$16*O18</f>
        <v>334585.35000000003</v>
      </c>
      <c r="P16" s="672"/>
      <c r="Q16" s="673"/>
      <c r="R16" s="671"/>
      <c r="S16" s="672"/>
      <c r="T16" s="673"/>
      <c r="U16" s="671"/>
      <c r="V16" s="672"/>
      <c r="W16" s="673"/>
      <c r="X16" s="255">
        <f>SUM(F16:W16)</f>
        <v>1115284.5000000002</v>
      </c>
    </row>
    <row r="17" spans="1:25">
      <c r="A17" s="675"/>
      <c r="B17" s="687"/>
      <c r="C17" s="688"/>
      <c r="D17" s="681"/>
      <c r="E17" s="683"/>
      <c r="F17" s="705"/>
      <c r="G17" s="706"/>
      <c r="H17" s="707"/>
      <c r="I17" s="256"/>
      <c r="J17" s="256"/>
      <c r="K17" s="257"/>
      <c r="L17" s="258"/>
      <c r="M17" s="256"/>
      <c r="N17" s="257"/>
      <c r="O17" s="256"/>
      <c r="P17" s="256"/>
      <c r="Q17" s="257"/>
      <c r="R17" s="260"/>
      <c r="S17" s="260"/>
      <c r="T17" s="260"/>
      <c r="U17" s="738"/>
      <c r="V17" s="739"/>
      <c r="W17" s="740"/>
    </row>
    <row r="18" spans="1:25">
      <c r="A18" s="675"/>
      <c r="B18" s="687"/>
      <c r="C18" s="688"/>
      <c r="D18" s="681"/>
      <c r="E18" s="684"/>
      <c r="F18" s="702">
        <v>0.1</v>
      </c>
      <c r="G18" s="703"/>
      <c r="H18" s="704"/>
      <c r="I18" s="702">
        <v>0.3</v>
      </c>
      <c r="J18" s="703"/>
      <c r="K18" s="704"/>
      <c r="L18" s="702">
        <v>0.3</v>
      </c>
      <c r="M18" s="703"/>
      <c r="N18" s="704"/>
      <c r="O18" s="702">
        <v>0.3</v>
      </c>
      <c r="P18" s="703"/>
      <c r="Q18" s="704"/>
      <c r="R18" s="702"/>
      <c r="S18" s="703"/>
      <c r="T18" s="704"/>
      <c r="U18" s="702"/>
      <c r="V18" s="703"/>
      <c r="W18" s="704"/>
      <c r="X18" s="259">
        <f>SUM(F18:W18)</f>
        <v>1</v>
      </c>
    </row>
    <row r="19" spans="1:25">
      <c r="A19" s="674" t="str">
        <f>RESUMO!B21</f>
        <v>5.0</v>
      </c>
      <c r="B19" s="685" t="str">
        <f>RESUMO!C21</f>
        <v>PAVIMENTAÇÃO</v>
      </c>
      <c r="C19" s="686"/>
      <c r="D19" s="680">
        <f>E19/$E$40*100</f>
        <v>50.052094011972606</v>
      </c>
      <c r="E19" s="682">
        <f>RESUMO!D21</f>
        <v>3229134.6900000004</v>
      </c>
      <c r="F19" s="671">
        <f>$E$19*F21</f>
        <v>161456.73450000002</v>
      </c>
      <c r="G19" s="672"/>
      <c r="H19" s="673"/>
      <c r="I19" s="671">
        <f>$E$19*I21</f>
        <v>807283.6725000001</v>
      </c>
      <c r="J19" s="672"/>
      <c r="K19" s="673"/>
      <c r="L19" s="671">
        <f>$E$19*L21</f>
        <v>1130197.1415000001</v>
      </c>
      <c r="M19" s="672"/>
      <c r="N19" s="673"/>
      <c r="O19" s="671">
        <f>$E$19*O21</f>
        <v>1130197.1415000001</v>
      </c>
      <c r="P19" s="672"/>
      <c r="Q19" s="673"/>
      <c r="R19" s="668"/>
      <c r="S19" s="669"/>
      <c r="T19" s="670"/>
      <c r="U19" s="671"/>
      <c r="V19" s="672"/>
      <c r="W19" s="673"/>
      <c r="X19" s="255">
        <f>SUM(F19:W19)</f>
        <v>3229134.6900000004</v>
      </c>
      <c r="Y19" s="255">
        <f>X19-E19</f>
        <v>0</v>
      </c>
    </row>
    <row r="20" spans="1:25">
      <c r="A20" s="675"/>
      <c r="B20" s="687"/>
      <c r="C20" s="688"/>
      <c r="D20" s="681"/>
      <c r="E20" s="683"/>
      <c r="F20" s="705"/>
      <c r="G20" s="706"/>
      <c r="H20" s="707"/>
      <c r="I20" s="256"/>
      <c r="J20" s="256"/>
      <c r="K20" s="257"/>
      <c r="L20" s="258"/>
      <c r="M20" s="256"/>
      <c r="N20" s="257"/>
      <c r="O20" s="256"/>
      <c r="P20" s="256"/>
      <c r="Q20" s="257"/>
      <c r="R20" s="260"/>
      <c r="S20" s="260"/>
      <c r="T20" s="260"/>
      <c r="U20" s="261"/>
      <c r="V20" s="260"/>
      <c r="W20" s="262"/>
    </row>
    <row r="21" spans="1:25">
      <c r="A21" s="675"/>
      <c r="B21" s="687"/>
      <c r="C21" s="688"/>
      <c r="D21" s="681"/>
      <c r="E21" s="684"/>
      <c r="F21" s="702">
        <v>0.05</v>
      </c>
      <c r="G21" s="703"/>
      <c r="H21" s="704"/>
      <c r="I21" s="702">
        <v>0.25</v>
      </c>
      <c r="J21" s="703"/>
      <c r="K21" s="704"/>
      <c r="L21" s="702">
        <v>0.35</v>
      </c>
      <c r="M21" s="703"/>
      <c r="N21" s="704"/>
      <c r="O21" s="702">
        <v>0.35</v>
      </c>
      <c r="P21" s="703"/>
      <c r="Q21" s="704"/>
      <c r="R21" s="692"/>
      <c r="S21" s="693"/>
      <c r="T21" s="694"/>
      <c r="U21" s="663"/>
      <c r="V21" s="664"/>
      <c r="W21" s="665"/>
      <c r="X21" s="259">
        <f>SUM(F21:W21)</f>
        <v>0.99999999999999989</v>
      </c>
    </row>
    <row r="22" spans="1:25">
      <c r="A22" s="674" t="str">
        <f>RESUMO!B24</f>
        <v>6.0</v>
      </c>
      <c r="B22" s="685" t="str">
        <f>RESUMO!C24</f>
        <v>SINALIZAÇÃO HORIZONTAL/VERTICAL</v>
      </c>
      <c r="C22" s="686"/>
      <c r="D22" s="263"/>
      <c r="E22" s="682">
        <f>RESUMO!D24</f>
        <v>45379.409999999996</v>
      </c>
      <c r="F22" s="699"/>
      <c r="G22" s="700"/>
      <c r="H22" s="701"/>
      <c r="I22" s="668"/>
      <c r="J22" s="669"/>
      <c r="K22" s="670"/>
      <c r="L22" s="668"/>
      <c r="M22" s="669"/>
      <c r="N22" s="670"/>
      <c r="O22" s="668"/>
      <c r="P22" s="669"/>
      <c r="Q22" s="670"/>
      <c r="R22" s="668">
        <f>$E$22*R24</f>
        <v>9075.8819999999996</v>
      </c>
      <c r="S22" s="669"/>
      <c r="T22" s="670"/>
      <c r="U22" s="668">
        <f>$E$22*U24</f>
        <v>36303.527999999998</v>
      </c>
      <c r="V22" s="669"/>
      <c r="W22" s="670"/>
      <c r="X22" s="255">
        <f>SUM(F22:W22)</f>
        <v>45379.409999999996</v>
      </c>
      <c r="Y22" s="255">
        <f>X22-E22</f>
        <v>0</v>
      </c>
    </row>
    <row r="23" spans="1:25">
      <c r="A23" s="675"/>
      <c r="B23" s="687"/>
      <c r="C23" s="688"/>
      <c r="D23" s="264">
        <f>E22/$E$40*100</f>
        <v>0.70338797033203004</v>
      </c>
      <c r="E23" s="683"/>
      <c r="F23" s="265"/>
      <c r="G23" s="266"/>
      <c r="H23" s="266"/>
      <c r="I23" s="260"/>
      <c r="J23" s="260"/>
      <c r="K23" s="262"/>
      <c r="L23" s="261"/>
      <c r="M23" s="260"/>
      <c r="N23" s="262"/>
      <c r="O23" s="260"/>
      <c r="P23" s="260"/>
      <c r="Q23" s="262"/>
      <c r="R23" s="256"/>
      <c r="S23" s="256"/>
      <c r="T23" s="256"/>
      <c r="U23" s="258"/>
      <c r="V23" s="256"/>
      <c r="W23" s="257"/>
    </row>
    <row r="24" spans="1:25">
      <c r="A24" s="675"/>
      <c r="B24" s="687"/>
      <c r="C24" s="688"/>
      <c r="D24" s="267"/>
      <c r="E24" s="684"/>
      <c r="F24" s="689"/>
      <c r="G24" s="690"/>
      <c r="H24" s="691"/>
      <c r="I24" s="692"/>
      <c r="J24" s="693"/>
      <c r="K24" s="694"/>
      <c r="L24" s="692"/>
      <c r="M24" s="693"/>
      <c r="N24" s="694"/>
      <c r="O24" s="692"/>
      <c r="P24" s="693"/>
      <c r="Q24" s="694"/>
      <c r="R24" s="692">
        <v>0.2</v>
      </c>
      <c r="S24" s="693"/>
      <c r="T24" s="694"/>
      <c r="U24" s="663">
        <v>0.8</v>
      </c>
      <c r="V24" s="664"/>
      <c r="W24" s="665"/>
      <c r="X24" s="259">
        <f>SUM(F24:W24)</f>
        <v>1</v>
      </c>
    </row>
    <row r="25" spans="1:25">
      <c r="A25" s="674" t="str">
        <f>RESUMO!B27</f>
        <v>7.0</v>
      </c>
      <c r="B25" s="685" t="str">
        <f>RESUMO!C28</f>
        <v>OBRAS COMPLEMENTARES</v>
      </c>
      <c r="C25" s="686"/>
      <c r="D25" s="680">
        <f>E25/$E$40*100</f>
        <v>8.9452328681866451</v>
      </c>
      <c r="E25" s="682">
        <f>RESUMO!D27</f>
        <v>577105.96</v>
      </c>
      <c r="F25" s="699"/>
      <c r="G25" s="700"/>
      <c r="H25" s="701"/>
      <c r="I25" s="668"/>
      <c r="J25" s="669"/>
      <c r="K25" s="670"/>
      <c r="L25" s="668"/>
      <c r="M25" s="669"/>
      <c r="N25" s="670"/>
      <c r="O25" s="668">
        <f>$E$25*O27</f>
        <v>115421.192</v>
      </c>
      <c r="P25" s="669"/>
      <c r="Q25" s="670"/>
      <c r="R25" s="668">
        <f>$E$25*R27</f>
        <v>230842.38399999999</v>
      </c>
      <c r="S25" s="669"/>
      <c r="T25" s="670"/>
      <c r="U25" s="668">
        <f>$E$25*U27</f>
        <v>230842.38399999999</v>
      </c>
      <c r="V25" s="669"/>
      <c r="W25" s="670"/>
      <c r="X25" s="255">
        <f>SUM(F25:W25)</f>
        <v>577105.96</v>
      </c>
      <c r="Y25" s="255">
        <f>X25-E25</f>
        <v>0</v>
      </c>
    </row>
    <row r="26" spans="1:25">
      <c r="A26" s="675"/>
      <c r="B26" s="687"/>
      <c r="C26" s="688"/>
      <c r="D26" s="681"/>
      <c r="E26" s="683"/>
      <c r="F26" s="265"/>
      <c r="G26" s="266"/>
      <c r="H26" s="266"/>
      <c r="I26" s="260"/>
      <c r="J26" s="260"/>
      <c r="K26" s="262"/>
      <c r="L26" s="261"/>
      <c r="M26" s="260"/>
      <c r="N26" s="262"/>
      <c r="O26" s="256"/>
      <c r="P26" s="256"/>
      <c r="Q26" s="257"/>
      <c r="R26" s="256"/>
      <c r="S26" s="256"/>
      <c r="T26" s="256"/>
      <c r="U26" s="258"/>
      <c r="V26" s="256"/>
      <c r="W26" s="257"/>
    </row>
    <row r="27" spans="1:25">
      <c r="A27" s="675"/>
      <c r="B27" s="687"/>
      <c r="C27" s="688"/>
      <c r="D27" s="681"/>
      <c r="E27" s="684"/>
      <c r="F27" s="689"/>
      <c r="G27" s="690"/>
      <c r="H27" s="691"/>
      <c r="I27" s="692"/>
      <c r="J27" s="693"/>
      <c r="K27" s="694"/>
      <c r="L27" s="692"/>
      <c r="M27" s="693"/>
      <c r="N27" s="694"/>
      <c r="O27" s="692">
        <v>0.2</v>
      </c>
      <c r="P27" s="693"/>
      <c r="Q27" s="694"/>
      <c r="R27" s="692">
        <v>0.4</v>
      </c>
      <c r="S27" s="693"/>
      <c r="T27" s="694"/>
      <c r="U27" s="663">
        <v>0.4</v>
      </c>
      <c r="V27" s="664"/>
      <c r="W27" s="665"/>
      <c r="X27" s="259">
        <f>SUM(F27:W27)</f>
        <v>1</v>
      </c>
    </row>
    <row r="28" spans="1:25">
      <c r="A28" s="674" t="str">
        <f>RESUMO!B30</f>
        <v>8.0</v>
      </c>
      <c r="B28" s="685" t="str">
        <f>RESUMO!C30</f>
        <v>DRENAGEM</v>
      </c>
      <c r="C28" s="686"/>
      <c r="D28" s="680">
        <f>E28/$E$40*100</f>
        <v>4.0596561416695973</v>
      </c>
      <c r="E28" s="682">
        <f>RESUMO!D30</f>
        <v>261910.65000000002</v>
      </c>
      <c r="F28" s="699"/>
      <c r="G28" s="700"/>
      <c r="H28" s="701"/>
      <c r="I28" s="668">
        <f>$E$28*I30</f>
        <v>78573.195000000007</v>
      </c>
      <c r="J28" s="669"/>
      <c r="K28" s="670"/>
      <c r="L28" s="668">
        <f>$E$28*L30</f>
        <v>39286.597500000003</v>
      </c>
      <c r="M28" s="669"/>
      <c r="N28" s="670"/>
      <c r="O28" s="668">
        <f>$E$28*O30</f>
        <v>52382.130000000005</v>
      </c>
      <c r="P28" s="669"/>
      <c r="Q28" s="670"/>
      <c r="R28" s="668">
        <f>$E$28*R30</f>
        <v>52382.130000000005</v>
      </c>
      <c r="S28" s="669"/>
      <c r="T28" s="670"/>
      <c r="U28" s="668">
        <f>$E$28*U30</f>
        <v>39286.597500000003</v>
      </c>
      <c r="V28" s="669"/>
      <c r="W28" s="670"/>
      <c r="X28" s="255">
        <f>SUM(F28:W28)</f>
        <v>261910.65000000002</v>
      </c>
      <c r="Y28" s="255">
        <f>X28-E28</f>
        <v>0</v>
      </c>
    </row>
    <row r="29" spans="1:25">
      <c r="A29" s="675"/>
      <c r="B29" s="687"/>
      <c r="C29" s="688"/>
      <c r="D29" s="681"/>
      <c r="E29" s="683"/>
      <c r="F29" s="265"/>
      <c r="G29" s="266"/>
      <c r="H29" s="266"/>
      <c r="I29" s="258"/>
      <c r="J29" s="256"/>
      <c r="K29" s="257"/>
      <c r="L29" s="258"/>
      <c r="M29" s="256"/>
      <c r="N29" s="257"/>
      <c r="O29" s="256"/>
      <c r="P29" s="256"/>
      <c r="Q29" s="257"/>
      <c r="R29" s="256"/>
      <c r="S29" s="256"/>
      <c r="T29" s="256"/>
      <c r="U29" s="258"/>
      <c r="V29" s="256"/>
      <c r="W29" s="257"/>
    </row>
    <row r="30" spans="1:25">
      <c r="A30" s="675"/>
      <c r="B30" s="687"/>
      <c r="C30" s="688"/>
      <c r="D30" s="681"/>
      <c r="E30" s="684"/>
      <c r="F30" s="689"/>
      <c r="G30" s="690"/>
      <c r="H30" s="691"/>
      <c r="I30" s="692">
        <v>0.3</v>
      </c>
      <c r="J30" s="693"/>
      <c r="K30" s="694"/>
      <c r="L30" s="692">
        <v>0.15</v>
      </c>
      <c r="M30" s="693"/>
      <c r="N30" s="694"/>
      <c r="O30" s="692">
        <v>0.2</v>
      </c>
      <c r="P30" s="693"/>
      <c r="Q30" s="694"/>
      <c r="R30" s="692">
        <v>0.2</v>
      </c>
      <c r="S30" s="693"/>
      <c r="T30" s="694"/>
      <c r="U30" s="663">
        <v>0.15</v>
      </c>
      <c r="V30" s="664"/>
      <c r="W30" s="665"/>
      <c r="X30" s="259">
        <f>SUM(F30:W30)</f>
        <v>0.99999999999999989</v>
      </c>
    </row>
    <row r="31" spans="1:25" ht="12.75" customHeight="1">
      <c r="A31" s="674" t="str">
        <f>RESUMO!B33</f>
        <v>9.0</v>
      </c>
      <c r="B31" s="676" t="str">
        <f>RESUMO!C33</f>
        <v>FORNECIMENTO DE TUBOS TIPO PA-1</v>
      </c>
      <c r="C31" s="677"/>
      <c r="D31" s="680">
        <f>E31/$E$40*100</f>
        <v>6.0342000357607199</v>
      </c>
      <c r="E31" s="682">
        <f>RESUMO!D33</f>
        <v>389299.29</v>
      </c>
      <c r="F31" s="699"/>
      <c r="G31" s="700"/>
      <c r="H31" s="701"/>
      <c r="I31" s="668">
        <f>$E$31*I33</f>
        <v>233579.57399999999</v>
      </c>
      <c r="J31" s="669"/>
      <c r="K31" s="670"/>
      <c r="L31" s="668">
        <f>$E$31*L33</f>
        <v>155719.71599999999</v>
      </c>
      <c r="M31" s="669"/>
      <c r="N31" s="670"/>
      <c r="O31" s="668"/>
      <c r="P31" s="669"/>
      <c r="Q31" s="670"/>
      <c r="R31" s="668"/>
      <c r="S31" s="669"/>
      <c r="T31" s="670"/>
      <c r="U31" s="671"/>
      <c r="V31" s="672"/>
      <c r="W31" s="673"/>
      <c r="X31" s="255">
        <f>SUM(F31:W31)</f>
        <v>389299.29</v>
      </c>
      <c r="Y31" s="255">
        <f>X31-E31</f>
        <v>0</v>
      </c>
    </row>
    <row r="32" spans="1:25">
      <c r="A32" s="675"/>
      <c r="B32" s="678"/>
      <c r="C32" s="679"/>
      <c r="D32" s="681"/>
      <c r="E32" s="683"/>
      <c r="F32" s="265"/>
      <c r="G32" s="266"/>
      <c r="H32" s="266"/>
      <c r="I32" s="258"/>
      <c r="J32" s="256"/>
      <c r="K32" s="257"/>
      <c r="L32" s="258"/>
      <c r="M32" s="256"/>
      <c r="N32" s="257"/>
      <c r="O32" s="260"/>
      <c r="P32" s="260"/>
      <c r="Q32" s="262"/>
      <c r="R32" s="260"/>
      <c r="S32" s="260"/>
      <c r="T32" s="260"/>
      <c r="U32" s="261"/>
      <c r="V32" s="260"/>
      <c r="W32" s="262"/>
    </row>
    <row r="33" spans="1:25">
      <c r="A33" s="675"/>
      <c r="B33" s="678"/>
      <c r="C33" s="679"/>
      <c r="D33" s="681"/>
      <c r="E33" s="684"/>
      <c r="F33" s="689"/>
      <c r="G33" s="690"/>
      <c r="H33" s="691"/>
      <c r="I33" s="692">
        <v>0.6</v>
      </c>
      <c r="J33" s="693"/>
      <c r="K33" s="694"/>
      <c r="L33" s="692">
        <v>0.4</v>
      </c>
      <c r="M33" s="693"/>
      <c r="N33" s="694"/>
      <c r="O33" s="692"/>
      <c r="P33" s="693"/>
      <c r="Q33" s="694"/>
      <c r="R33" s="692"/>
      <c r="S33" s="693"/>
      <c r="T33" s="694"/>
      <c r="U33" s="663"/>
      <c r="V33" s="664"/>
      <c r="W33" s="665"/>
      <c r="X33" s="259">
        <f>SUM(F33:W33)</f>
        <v>1</v>
      </c>
    </row>
    <row r="34" spans="1:25" ht="12.75" customHeight="1">
      <c r="A34" s="674" t="str">
        <f>RESUMO!B36</f>
        <v>10.0</v>
      </c>
      <c r="B34" s="676" t="str">
        <f>RESUMO!C36</f>
        <v xml:space="preserve">ASSENTAMENTO E REJUNTAMENTO DE TUBO DE CONCRETO </v>
      </c>
      <c r="C34" s="677"/>
      <c r="D34" s="695">
        <f>E34/$E$40*100</f>
        <v>2.2215238574910376</v>
      </c>
      <c r="E34" s="682">
        <f>RESUMO!D36</f>
        <v>143322.67000000001</v>
      </c>
      <c r="F34" s="699"/>
      <c r="G34" s="700"/>
      <c r="H34" s="701"/>
      <c r="I34" s="668">
        <f>$E$34*I36</f>
        <v>42996.800999999999</v>
      </c>
      <c r="J34" s="669"/>
      <c r="K34" s="670"/>
      <c r="L34" s="668">
        <f>$E$34*L36</f>
        <v>57329.068000000007</v>
      </c>
      <c r="M34" s="669"/>
      <c r="N34" s="670"/>
      <c r="O34" s="668">
        <f>$E$34*O36</f>
        <v>42996.800999999999</v>
      </c>
      <c r="P34" s="669"/>
      <c r="Q34" s="670"/>
      <c r="R34" s="668"/>
      <c r="S34" s="669"/>
      <c r="T34" s="670"/>
      <c r="U34" s="671"/>
      <c r="V34" s="672"/>
      <c r="W34" s="673"/>
      <c r="X34" s="255">
        <f>SUM(F34:W34)</f>
        <v>143322.67000000001</v>
      </c>
      <c r="Y34" s="255">
        <f>X34-E34</f>
        <v>0</v>
      </c>
    </row>
    <row r="35" spans="1:25">
      <c r="A35" s="675"/>
      <c r="B35" s="678"/>
      <c r="C35" s="679"/>
      <c r="D35" s="695"/>
      <c r="E35" s="683"/>
      <c r="F35" s="265"/>
      <c r="G35" s="266"/>
      <c r="H35" s="266"/>
      <c r="I35" s="258"/>
      <c r="J35" s="256"/>
      <c r="K35" s="257"/>
      <c r="L35" s="258"/>
      <c r="M35" s="256"/>
      <c r="N35" s="257"/>
      <c r="O35" s="256"/>
      <c r="P35" s="256"/>
      <c r="Q35" s="257"/>
      <c r="R35" s="260"/>
      <c r="S35" s="260"/>
      <c r="T35" s="260"/>
      <c r="U35" s="261"/>
      <c r="V35" s="260"/>
      <c r="W35" s="262"/>
    </row>
    <row r="36" spans="1:25">
      <c r="A36" s="675"/>
      <c r="B36" s="678"/>
      <c r="C36" s="679"/>
      <c r="D36" s="695"/>
      <c r="E36" s="684"/>
      <c r="F36" s="689"/>
      <c r="G36" s="690"/>
      <c r="H36" s="691"/>
      <c r="I36" s="692">
        <v>0.3</v>
      </c>
      <c r="J36" s="693"/>
      <c r="K36" s="694"/>
      <c r="L36" s="692">
        <v>0.4</v>
      </c>
      <c r="M36" s="693"/>
      <c r="N36" s="694"/>
      <c r="O36" s="692">
        <v>0.3</v>
      </c>
      <c r="P36" s="693"/>
      <c r="Q36" s="694"/>
      <c r="R36" s="692"/>
      <c r="S36" s="693"/>
      <c r="T36" s="694"/>
      <c r="U36" s="663"/>
      <c r="V36" s="664"/>
      <c r="W36" s="665"/>
      <c r="X36" s="259">
        <f>SUM(F36:W36)</f>
        <v>1</v>
      </c>
    </row>
    <row r="37" spans="1:25">
      <c r="A37" s="674" t="str">
        <f>RESUMO!B39</f>
        <v>11.0</v>
      </c>
      <c r="B37" s="685" t="str">
        <f>RESUMO!C39</f>
        <v>ÓRGÃOS ACESSÓRIOS</v>
      </c>
      <c r="C37" s="686"/>
      <c r="D37" s="695">
        <f>E37/$E$40*100</f>
        <v>2.8292634602633107</v>
      </c>
      <c r="E37" s="682">
        <f>RESUMO!D39</f>
        <v>182531.28</v>
      </c>
      <c r="F37" s="666"/>
      <c r="G37" s="667"/>
      <c r="H37" s="667"/>
      <c r="I37" s="668">
        <f>$E$37*I39</f>
        <v>54759.383999999998</v>
      </c>
      <c r="J37" s="669"/>
      <c r="K37" s="670"/>
      <c r="L37" s="668">
        <f>$E$37*L39</f>
        <v>73012.512000000002</v>
      </c>
      <c r="M37" s="669"/>
      <c r="N37" s="670"/>
      <c r="O37" s="668">
        <f>$E$37*O39</f>
        <v>54759.383999999998</v>
      </c>
      <c r="P37" s="669"/>
      <c r="Q37" s="670"/>
      <c r="R37" s="671"/>
      <c r="S37" s="672"/>
      <c r="T37" s="673"/>
      <c r="U37" s="671"/>
      <c r="V37" s="672"/>
      <c r="W37" s="673"/>
      <c r="X37" s="255">
        <f>SUM(F37:W37)</f>
        <v>182531.28</v>
      </c>
      <c r="Y37" s="255">
        <f>X37-E37</f>
        <v>0</v>
      </c>
    </row>
    <row r="38" spans="1:25">
      <c r="A38" s="675"/>
      <c r="B38" s="687"/>
      <c r="C38" s="688"/>
      <c r="D38" s="695"/>
      <c r="E38" s="683"/>
      <c r="F38" s="265"/>
      <c r="G38" s="266"/>
      <c r="H38" s="268"/>
      <c r="I38" s="256"/>
      <c r="J38" s="256"/>
      <c r="K38" s="257"/>
      <c r="L38" s="258"/>
      <c r="M38" s="256"/>
      <c r="N38" s="257"/>
      <c r="O38" s="256"/>
      <c r="P38" s="256"/>
      <c r="Q38" s="257"/>
      <c r="R38" s="260"/>
      <c r="S38" s="260"/>
      <c r="T38" s="260"/>
      <c r="U38" s="261"/>
      <c r="V38" s="260"/>
      <c r="W38" s="262"/>
    </row>
    <row r="39" spans="1:25">
      <c r="A39" s="675"/>
      <c r="B39" s="687"/>
      <c r="C39" s="688"/>
      <c r="D39" s="695"/>
      <c r="E39" s="684"/>
      <c r="F39" s="696"/>
      <c r="G39" s="697"/>
      <c r="H39" s="698"/>
      <c r="I39" s="692">
        <v>0.3</v>
      </c>
      <c r="J39" s="693"/>
      <c r="K39" s="694"/>
      <c r="L39" s="692">
        <v>0.4</v>
      </c>
      <c r="M39" s="693"/>
      <c r="N39" s="694"/>
      <c r="O39" s="692">
        <v>0.3</v>
      </c>
      <c r="P39" s="693"/>
      <c r="Q39" s="694"/>
      <c r="R39" s="663"/>
      <c r="S39" s="664"/>
      <c r="T39" s="665"/>
      <c r="U39" s="663"/>
      <c r="V39" s="664"/>
      <c r="W39" s="665"/>
      <c r="X39" s="259">
        <f>SUM(F39:W39)</f>
        <v>1</v>
      </c>
    </row>
    <row r="40" spans="1:25">
      <c r="A40" s="647" t="s">
        <v>134</v>
      </c>
      <c r="B40" s="648"/>
      <c r="C40" s="649"/>
      <c r="D40" s="269">
        <f>SUM(D7:D39)</f>
        <v>99.999999999999986</v>
      </c>
      <c r="E40" s="270">
        <f>E7+E10+E13+E16+E19+E22+E25+E28+E31+E34+E37</f>
        <v>6451547.6400000015</v>
      </c>
      <c r="F40" s="650">
        <f>F41/$E$40</f>
        <v>5.691939953651183E-2</v>
      </c>
      <c r="G40" s="651"/>
      <c r="H40" s="652"/>
      <c r="I40" s="650">
        <f>I41/$E$40</f>
        <v>0.25469483608277277</v>
      </c>
      <c r="J40" s="651"/>
      <c r="K40" s="652"/>
      <c r="L40" s="650">
        <f>L41/$E$40</f>
        <v>0.29021566880191241</v>
      </c>
      <c r="M40" s="651"/>
      <c r="N40" s="652"/>
      <c r="O40" s="650">
        <f>O41/$E$40</f>
        <v>0.28059233406668288</v>
      </c>
      <c r="P40" s="651"/>
      <c r="Q40" s="652"/>
      <c r="R40" s="650">
        <f>R41/$E$40</f>
        <v>5.7693630880481239E-2</v>
      </c>
      <c r="S40" s="651"/>
      <c r="T40" s="652"/>
      <c r="U40" s="650">
        <f>U41/$E$40</f>
        <v>5.9884130631638631E-2</v>
      </c>
      <c r="V40" s="651"/>
      <c r="W40" s="652"/>
      <c r="X40" s="255">
        <f>SUM(F40:W40)</f>
        <v>0.99999999999999978</v>
      </c>
      <c r="Y40" s="255">
        <f>SUM(X37+X34+X31+X28+X25+X22+X19+X13+X10+X7+X16)</f>
        <v>6451547.6400000006</v>
      </c>
    </row>
    <row r="41" spans="1:25">
      <c r="A41" s="647" t="s">
        <v>135</v>
      </c>
      <c r="B41" s="648"/>
      <c r="C41" s="649"/>
      <c r="D41" s="656" t="s">
        <v>136</v>
      </c>
      <c r="E41" s="657"/>
      <c r="F41" s="658">
        <f>F19+F16+F13+F10+F7</f>
        <v>367218.21775000007</v>
      </c>
      <c r="G41" s="659"/>
      <c r="H41" s="660"/>
      <c r="I41" s="658">
        <f>I37+I34+I31+I28+I19+I16+I13+I10+I7</f>
        <v>1643175.8686499998</v>
      </c>
      <c r="J41" s="659"/>
      <c r="K41" s="660"/>
      <c r="L41" s="658">
        <f>L37+L34+L31+L28+L19+L16+L13+L10+L7</f>
        <v>1872340.21315</v>
      </c>
      <c r="M41" s="659"/>
      <c r="N41" s="660"/>
      <c r="O41" s="658">
        <f>O37+O34+O28+O25+O19+O16+O13+O10+O7</f>
        <v>1810254.8106500001</v>
      </c>
      <c r="P41" s="659"/>
      <c r="Q41" s="660"/>
      <c r="R41" s="658">
        <f>R7+R10+R13+R25+R28+R22</f>
        <v>372213.20814999996</v>
      </c>
      <c r="S41" s="659"/>
      <c r="T41" s="660"/>
      <c r="U41" s="658">
        <f>SUM(U28+U25+U22+U13+U10+U7)</f>
        <v>386345.32165</v>
      </c>
      <c r="V41" s="659"/>
      <c r="W41" s="660"/>
      <c r="X41" s="255">
        <f>SUM(F41:W41)</f>
        <v>6451547.6400000006</v>
      </c>
    </row>
    <row r="42" spans="1:25">
      <c r="A42" s="653"/>
      <c r="B42" s="654"/>
      <c r="C42" s="655"/>
      <c r="D42" s="661" t="s">
        <v>137</v>
      </c>
      <c r="E42" s="662"/>
      <c r="F42" s="658">
        <f>F41</f>
        <v>367218.21775000007</v>
      </c>
      <c r="G42" s="659"/>
      <c r="H42" s="660"/>
      <c r="I42" s="658">
        <f>F42++I41</f>
        <v>2010394.0863999999</v>
      </c>
      <c r="J42" s="659"/>
      <c r="K42" s="660"/>
      <c r="L42" s="658">
        <f>I42++L41</f>
        <v>3882734.2995499996</v>
      </c>
      <c r="M42" s="659"/>
      <c r="N42" s="660"/>
      <c r="O42" s="658">
        <f>L42++O41</f>
        <v>5692989.1102</v>
      </c>
      <c r="P42" s="659"/>
      <c r="Q42" s="660"/>
      <c r="R42" s="658">
        <f>O42++R41</f>
        <v>6065202.3183500003</v>
      </c>
      <c r="S42" s="659"/>
      <c r="T42" s="660"/>
      <c r="U42" s="658">
        <f>R42++U41</f>
        <v>6451547.6400000006</v>
      </c>
      <c r="V42" s="659"/>
      <c r="W42" s="660"/>
      <c r="Y42" s="255">
        <f>Y40-U42</f>
        <v>0</v>
      </c>
    </row>
    <row r="44" spans="1:25">
      <c r="E44" s="271">
        <f>SUM(E7:E39)</f>
        <v>6451547.6400000015</v>
      </c>
      <c r="V44" s="272"/>
      <c r="Y44" s="272"/>
    </row>
  </sheetData>
  <mergeCells count="218">
    <mergeCell ref="R16:T16"/>
    <mergeCell ref="U16:W16"/>
    <mergeCell ref="F18:H18"/>
    <mergeCell ref="L18:N18"/>
    <mergeCell ref="O18:Q18"/>
    <mergeCell ref="R18:T18"/>
    <mergeCell ref="U18:W18"/>
    <mergeCell ref="U17:W17"/>
    <mergeCell ref="O16:Q16"/>
    <mergeCell ref="I16:K16"/>
    <mergeCell ref="U22:W22"/>
    <mergeCell ref="U28:W28"/>
    <mergeCell ref="F30:H30"/>
    <mergeCell ref="I30:K30"/>
    <mergeCell ref="L30:N30"/>
    <mergeCell ref="O30:Q30"/>
    <mergeCell ref="R30:T30"/>
    <mergeCell ref="U30:W30"/>
    <mergeCell ref="L25:N25"/>
    <mergeCell ref="O25:Q25"/>
    <mergeCell ref="R27:T27"/>
    <mergeCell ref="O24:Q24"/>
    <mergeCell ref="U24:W24"/>
    <mergeCell ref="L22:N22"/>
    <mergeCell ref="O22:Q22"/>
    <mergeCell ref="F28:H28"/>
    <mergeCell ref="I28:K28"/>
    <mergeCell ref="L28:N28"/>
    <mergeCell ref="O28:Q28"/>
    <mergeCell ref="R28:T28"/>
    <mergeCell ref="U25:W25"/>
    <mergeCell ref="A1:E3"/>
    <mergeCell ref="F1:W3"/>
    <mergeCell ref="A4:W4"/>
    <mergeCell ref="A5:E5"/>
    <mergeCell ref="F5:W5"/>
    <mergeCell ref="B6:C6"/>
    <mergeCell ref="F6:H6"/>
    <mergeCell ref="I6:K6"/>
    <mergeCell ref="L6:N6"/>
    <mergeCell ref="O6:Q6"/>
    <mergeCell ref="R6:T6"/>
    <mergeCell ref="U6:W6"/>
    <mergeCell ref="A7:A9"/>
    <mergeCell ref="B7:C9"/>
    <mergeCell ref="D7:D9"/>
    <mergeCell ref="E7:E9"/>
    <mergeCell ref="F7:H7"/>
    <mergeCell ref="R7:T7"/>
    <mergeCell ref="U7:W7"/>
    <mergeCell ref="F8:H8"/>
    <mergeCell ref="U8:W8"/>
    <mergeCell ref="F9:H9"/>
    <mergeCell ref="I9:K9"/>
    <mergeCell ref="L9:N9"/>
    <mergeCell ref="O9:Q9"/>
    <mergeCell ref="R9:T9"/>
    <mergeCell ref="U9:W9"/>
    <mergeCell ref="I7:K7"/>
    <mergeCell ref="L7:N7"/>
    <mergeCell ref="O7:Q7"/>
    <mergeCell ref="U10:W10"/>
    <mergeCell ref="F11:H11"/>
    <mergeCell ref="U11:W11"/>
    <mergeCell ref="F12:H12"/>
    <mergeCell ref="I12:K12"/>
    <mergeCell ref="L12:N12"/>
    <mergeCell ref="O12:Q12"/>
    <mergeCell ref="U12:W12"/>
    <mergeCell ref="O10:Q10"/>
    <mergeCell ref="L10:N10"/>
    <mergeCell ref="F10:H10"/>
    <mergeCell ref="I10:K10"/>
    <mergeCell ref="A13:A15"/>
    <mergeCell ref="B13:C15"/>
    <mergeCell ref="D13:D15"/>
    <mergeCell ref="E13:E15"/>
    <mergeCell ref="F13:H13"/>
    <mergeCell ref="L13:N13"/>
    <mergeCell ref="I13:K13"/>
    <mergeCell ref="R10:T10"/>
    <mergeCell ref="R12:T12"/>
    <mergeCell ref="A10:A12"/>
    <mergeCell ref="B10:C12"/>
    <mergeCell ref="D10:D12"/>
    <mergeCell ref="E10:E12"/>
    <mergeCell ref="F14:H14"/>
    <mergeCell ref="I15:K15"/>
    <mergeCell ref="U13:W13"/>
    <mergeCell ref="F15:H15"/>
    <mergeCell ref="L15:N15"/>
    <mergeCell ref="O15:Q15"/>
    <mergeCell ref="R15:T15"/>
    <mergeCell ref="U15:W15"/>
    <mergeCell ref="U14:W14"/>
    <mergeCell ref="O13:Q13"/>
    <mergeCell ref="R13:T13"/>
    <mergeCell ref="A16:A18"/>
    <mergeCell ref="B16:C18"/>
    <mergeCell ref="D16:D18"/>
    <mergeCell ref="E16:E18"/>
    <mergeCell ref="F16:H16"/>
    <mergeCell ref="L16:N16"/>
    <mergeCell ref="I18:K18"/>
    <mergeCell ref="F17:H17"/>
    <mergeCell ref="F24:H24"/>
    <mergeCell ref="A19:A21"/>
    <mergeCell ref="B19:C21"/>
    <mergeCell ref="D19:D21"/>
    <mergeCell ref="E19:E21"/>
    <mergeCell ref="F19:H19"/>
    <mergeCell ref="I19:K19"/>
    <mergeCell ref="F20:H20"/>
    <mergeCell ref="A22:A24"/>
    <mergeCell ref="B22:C24"/>
    <mergeCell ref="R19:T19"/>
    <mergeCell ref="U19:W19"/>
    <mergeCell ref="F21:H21"/>
    <mergeCell ref="I21:K21"/>
    <mergeCell ref="L21:N21"/>
    <mergeCell ref="O21:Q21"/>
    <mergeCell ref="R21:T21"/>
    <mergeCell ref="U21:W21"/>
    <mergeCell ref="L19:N19"/>
    <mergeCell ref="O19:Q19"/>
    <mergeCell ref="U36:W36"/>
    <mergeCell ref="U34:W34"/>
    <mergeCell ref="F34:H34"/>
    <mergeCell ref="I34:K34"/>
    <mergeCell ref="L34:N34"/>
    <mergeCell ref="O34:Q34"/>
    <mergeCell ref="R34:T34"/>
    <mergeCell ref="D25:D27"/>
    <mergeCell ref="F22:H22"/>
    <mergeCell ref="F27:H27"/>
    <mergeCell ref="I27:K27"/>
    <mergeCell ref="L27:N27"/>
    <mergeCell ref="O27:Q27"/>
    <mergeCell ref="U27:W27"/>
    <mergeCell ref="U33:W33"/>
    <mergeCell ref="U31:W31"/>
    <mergeCell ref="F31:H31"/>
    <mergeCell ref="I31:K31"/>
    <mergeCell ref="L31:N31"/>
    <mergeCell ref="O31:Q31"/>
    <mergeCell ref="R31:T31"/>
    <mergeCell ref="F33:H33"/>
    <mergeCell ref="I33:K33"/>
    <mergeCell ref="L33:N33"/>
    <mergeCell ref="O33:Q33"/>
    <mergeCell ref="R33:T33"/>
    <mergeCell ref="R22:T22"/>
    <mergeCell ref="I24:K24"/>
    <mergeCell ref="F25:H25"/>
    <mergeCell ref="I25:K25"/>
    <mergeCell ref="R25:T25"/>
    <mergeCell ref="L24:N24"/>
    <mergeCell ref="R24:T24"/>
    <mergeCell ref="I22:K22"/>
    <mergeCell ref="F36:H36"/>
    <mergeCell ref="I36:K36"/>
    <mergeCell ref="L36:N36"/>
    <mergeCell ref="O36:Q36"/>
    <mergeCell ref="R36:T36"/>
    <mergeCell ref="A37:A39"/>
    <mergeCell ref="B37:C39"/>
    <mergeCell ref="D37:D39"/>
    <mergeCell ref="E37:E39"/>
    <mergeCell ref="A34:A36"/>
    <mergeCell ref="B34:C36"/>
    <mergeCell ref="D34:D36"/>
    <mergeCell ref="E34:E36"/>
    <mergeCell ref="F39:H39"/>
    <mergeCell ref="I39:K39"/>
    <mergeCell ref="L39:N39"/>
    <mergeCell ref="O39:Q39"/>
    <mergeCell ref="R39:T39"/>
    <mergeCell ref="A31:A33"/>
    <mergeCell ref="B31:C33"/>
    <mergeCell ref="D31:D33"/>
    <mergeCell ref="E31:E33"/>
    <mergeCell ref="E25:E27"/>
    <mergeCell ref="E22:E24"/>
    <mergeCell ref="A25:A27"/>
    <mergeCell ref="B25:C27"/>
    <mergeCell ref="A28:A30"/>
    <mergeCell ref="B28:C30"/>
    <mergeCell ref="D28:D30"/>
    <mergeCell ref="E28:E30"/>
    <mergeCell ref="U41:W41"/>
    <mergeCell ref="D42:E42"/>
    <mergeCell ref="U39:W39"/>
    <mergeCell ref="F37:H37"/>
    <mergeCell ref="I37:K37"/>
    <mergeCell ref="L37:N37"/>
    <mergeCell ref="O37:Q37"/>
    <mergeCell ref="R37:T37"/>
    <mergeCell ref="U37:W37"/>
    <mergeCell ref="F42:H42"/>
    <mergeCell ref="I42:K42"/>
    <mergeCell ref="L42:N42"/>
    <mergeCell ref="O42:Q42"/>
    <mergeCell ref="R42:T42"/>
    <mergeCell ref="U42:W42"/>
    <mergeCell ref="U40:W40"/>
    <mergeCell ref="A40:C40"/>
    <mergeCell ref="F40:H40"/>
    <mergeCell ref="I40:K40"/>
    <mergeCell ref="L40:N40"/>
    <mergeCell ref="O40:Q40"/>
    <mergeCell ref="R40:T40"/>
    <mergeCell ref="A41:C42"/>
    <mergeCell ref="D41:E41"/>
    <mergeCell ref="F41:H41"/>
    <mergeCell ref="I41:K41"/>
    <mergeCell ref="L41:N41"/>
    <mergeCell ref="O41:Q41"/>
    <mergeCell ref="R41:T4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3:J116"/>
  <sheetViews>
    <sheetView zoomScale="115" zoomScaleNormal="115" workbookViewId="0">
      <selection activeCell="C112" sqref="C112"/>
    </sheetView>
  </sheetViews>
  <sheetFormatPr defaultColWidth="9.140625" defaultRowHeight="12.75"/>
  <cols>
    <col min="1" max="1" width="16.7109375" style="55" bestFit="1" customWidth="1"/>
    <col min="2" max="2" width="59.5703125" style="55" customWidth="1"/>
    <col min="3" max="3" width="10.42578125" style="55" bestFit="1" customWidth="1"/>
    <col min="4" max="4" width="10.5703125" style="55" customWidth="1"/>
    <col min="5" max="5" width="10.85546875" style="55" customWidth="1"/>
    <col min="6" max="6" width="11.7109375" style="55" customWidth="1"/>
    <col min="7" max="8" width="9.42578125" style="55" bestFit="1" customWidth="1"/>
    <col min="9" max="9" width="11.140625" style="55" bestFit="1" customWidth="1"/>
    <col min="10" max="10" width="17.7109375" style="55" customWidth="1"/>
    <col min="11" max="16384" width="9.140625" style="55"/>
  </cols>
  <sheetData>
    <row r="3" spans="1:10">
      <c r="A3" s="273" t="s">
        <v>98</v>
      </c>
      <c r="B3" s="273"/>
      <c r="C3" s="274"/>
      <c r="D3" s="274"/>
      <c r="E3" s="274"/>
      <c r="F3" s="274"/>
      <c r="G3" s="274"/>
      <c r="H3" s="274"/>
      <c r="I3" s="274"/>
      <c r="J3" s="275"/>
    </row>
    <row r="4" spans="1:10" ht="24.75" customHeight="1">
      <c r="A4" s="276" t="s">
        <v>321</v>
      </c>
      <c r="B4" s="755" t="str">
        <f>RESUMO!C49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C4" s="756"/>
      <c r="D4" s="756"/>
      <c r="E4" s="756"/>
      <c r="F4" s="756"/>
      <c r="G4" s="756"/>
      <c r="H4" s="756"/>
      <c r="I4" s="756"/>
      <c r="J4" s="757"/>
    </row>
    <row r="5" spans="1:10" ht="13.5" thickBot="1">
      <c r="A5" s="277" t="str">
        <f>[1]QUANT!A4</f>
        <v>OBRA: PAVIMENTAÇÃO DE VIAS URBANAS</v>
      </c>
      <c r="B5" s="277"/>
      <c r="C5" s="278"/>
      <c r="D5" s="278"/>
      <c r="E5" s="278"/>
      <c r="F5" s="278"/>
      <c r="G5" s="278"/>
      <c r="H5" s="278"/>
      <c r="I5" s="278"/>
      <c r="J5" s="279"/>
    </row>
    <row r="6" spans="1:10" ht="20.100000000000001" customHeight="1">
      <c r="A6" s="760" t="s">
        <v>200</v>
      </c>
      <c r="B6" s="761"/>
      <c r="C6" s="761"/>
      <c r="D6" s="761"/>
      <c r="E6" s="761"/>
      <c r="F6" s="761"/>
      <c r="G6" s="761"/>
      <c r="H6" s="761"/>
      <c r="I6" s="761"/>
      <c r="J6" s="762"/>
    </row>
    <row r="7" spans="1:10" ht="20.100000000000001" customHeight="1">
      <c r="A7" s="763"/>
      <c r="B7" s="764"/>
      <c r="C7" s="764"/>
      <c r="D7" s="764"/>
      <c r="E7" s="764"/>
      <c r="F7" s="764"/>
      <c r="G7" s="764"/>
      <c r="H7" s="764"/>
      <c r="I7" s="764"/>
      <c r="J7" s="765"/>
    </row>
    <row r="8" spans="1:10" ht="25.5">
      <c r="A8" s="741" t="s">
        <v>348</v>
      </c>
      <c r="B8" s="758" t="s">
        <v>210</v>
      </c>
      <c r="C8" s="758" t="s">
        <v>201</v>
      </c>
      <c r="D8" s="758" t="s">
        <v>202</v>
      </c>
      <c r="E8" s="354" t="s">
        <v>203</v>
      </c>
      <c r="F8" s="354" t="s">
        <v>204</v>
      </c>
      <c r="G8" s="354" t="s">
        <v>205</v>
      </c>
      <c r="H8" s="354" t="s">
        <v>206</v>
      </c>
      <c r="I8" s="354" t="s">
        <v>207</v>
      </c>
      <c r="J8" s="759" t="s">
        <v>349</v>
      </c>
    </row>
    <row r="9" spans="1:10" ht="25.5">
      <c r="A9" s="741"/>
      <c r="B9" s="758"/>
      <c r="C9" s="758"/>
      <c r="D9" s="758"/>
      <c r="E9" s="354" t="s">
        <v>293</v>
      </c>
      <c r="F9" s="354" t="s">
        <v>208</v>
      </c>
      <c r="G9" s="354" t="s">
        <v>302</v>
      </c>
      <c r="H9" s="354" t="s">
        <v>209</v>
      </c>
      <c r="I9" s="354" t="s">
        <v>294</v>
      </c>
      <c r="J9" s="759"/>
    </row>
    <row r="10" spans="1:10" ht="12.75" customHeight="1">
      <c r="A10" s="741"/>
      <c r="B10" s="282" t="s">
        <v>350</v>
      </c>
      <c r="C10" s="248">
        <v>67</v>
      </c>
      <c r="D10" s="280">
        <v>0.6</v>
      </c>
      <c r="E10" s="280">
        <v>1.5</v>
      </c>
      <c r="F10" s="228">
        <v>2</v>
      </c>
      <c r="G10" s="228">
        <v>2</v>
      </c>
      <c r="H10" s="248">
        <f t="shared" ref="H10:H26" si="0">SUM(F10:G10)/2</f>
        <v>2</v>
      </c>
      <c r="I10" s="248">
        <f t="shared" ref="I10:I26" si="1">SUM(C10*E10*H10)</f>
        <v>201</v>
      </c>
      <c r="J10" s="281">
        <f t="shared" ref="J10:J26" si="2">SUM(C10*E10)</f>
        <v>100.5</v>
      </c>
    </row>
    <row r="11" spans="1:10">
      <c r="A11" s="741"/>
      <c r="B11" s="282" t="s">
        <v>350</v>
      </c>
      <c r="C11" s="228">
        <v>26</v>
      </c>
      <c r="D11" s="280">
        <v>0.6</v>
      </c>
      <c r="E11" s="280">
        <v>1.5</v>
      </c>
      <c r="F11" s="228">
        <v>2</v>
      </c>
      <c r="G11" s="228">
        <v>2</v>
      </c>
      <c r="H11" s="248">
        <f t="shared" si="0"/>
        <v>2</v>
      </c>
      <c r="I11" s="248">
        <f t="shared" si="1"/>
        <v>78</v>
      </c>
      <c r="J11" s="281">
        <f t="shared" si="2"/>
        <v>39</v>
      </c>
    </row>
    <row r="12" spans="1:10">
      <c r="A12" s="741"/>
      <c r="B12" s="282" t="s">
        <v>351</v>
      </c>
      <c r="C12" s="228">
        <v>47</v>
      </c>
      <c r="D12" s="280">
        <v>0.6</v>
      </c>
      <c r="E12" s="280">
        <v>1.5</v>
      </c>
      <c r="F12" s="228">
        <v>2</v>
      </c>
      <c r="G12" s="228">
        <v>2</v>
      </c>
      <c r="H12" s="248">
        <f t="shared" si="0"/>
        <v>2</v>
      </c>
      <c r="I12" s="248">
        <f t="shared" si="1"/>
        <v>141</v>
      </c>
      <c r="J12" s="281">
        <f t="shared" si="2"/>
        <v>70.5</v>
      </c>
    </row>
    <row r="13" spans="1:10">
      <c r="A13" s="741"/>
      <c r="B13" s="282" t="s">
        <v>351</v>
      </c>
      <c r="C13" s="228">
        <v>79</v>
      </c>
      <c r="D13" s="280">
        <v>0.6</v>
      </c>
      <c r="E13" s="280">
        <v>1.5</v>
      </c>
      <c r="F13" s="228">
        <v>2</v>
      </c>
      <c r="G13" s="228">
        <v>2</v>
      </c>
      <c r="H13" s="248">
        <f t="shared" si="0"/>
        <v>2</v>
      </c>
      <c r="I13" s="248">
        <f t="shared" si="1"/>
        <v>237</v>
      </c>
      <c r="J13" s="281">
        <f t="shared" si="2"/>
        <v>118.5</v>
      </c>
    </row>
    <row r="14" spans="1:10">
      <c r="A14" s="741"/>
      <c r="B14" s="282" t="s">
        <v>351</v>
      </c>
      <c r="C14" s="228">
        <v>74</v>
      </c>
      <c r="D14" s="280">
        <v>0.6</v>
      </c>
      <c r="E14" s="280">
        <v>1.5</v>
      </c>
      <c r="F14" s="228">
        <v>2</v>
      </c>
      <c r="G14" s="228">
        <v>2</v>
      </c>
      <c r="H14" s="248">
        <f t="shared" si="0"/>
        <v>2</v>
      </c>
      <c r="I14" s="248">
        <f t="shared" si="1"/>
        <v>222</v>
      </c>
      <c r="J14" s="281">
        <f t="shared" si="2"/>
        <v>111</v>
      </c>
    </row>
    <row r="15" spans="1:10">
      <c r="A15" s="741"/>
      <c r="B15" s="282" t="s">
        <v>351</v>
      </c>
      <c r="C15" s="228">
        <v>65</v>
      </c>
      <c r="D15" s="280">
        <v>0.6</v>
      </c>
      <c r="E15" s="280">
        <v>1.5</v>
      </c>
      <c r="F15" s="228">
        <v>2</v>
      </c>
      <c r="G15" s="228">
        <v>2</v>
      </c>
      <c r="H15" s="248">
        <f t="shared" si="0"/>
        <v>2</v>
      </c>
      <c r="I15" s="248">
        <f t="shared" si="1"/>
        <v>195</v>
      </c>
      <c r="J15" s="281">
        <f t="shared" si="2"/>
        <v>97.5</v>
      </c>
    </row>
    <row r="16" spans="1:10">
      <c r="A16" s="741"/>
      <c r="B16" s="282" t="s">
        <v>351</v>
      </c>
      <c r="C16" s="228">
        <v>18</v>
      </c>
      <c r="D16" s="280">
        <v>0.6</v>
      </c>
      <c r="E16" s="280">
        <v>1.5</v>
      </c>
      <c r="F16" s="228">
        <v>2</v>
      </c>
      <c r="G16" s="228">
        <v>2</v>
      </c>
      <c r="H16" s="248">
        <f t="shared" si="0"/>
        <v>2</v>
      </c>
      <c r="I16" s="248">
        <f t="shared" si="1"/>
        <v>54</v>
      </c>
      <c r="J16" s="281">
        <f t="shared" si="2"/>
        <v>27</v>
      </c>
    </row>
    <row r="17" spans="1:10">
      <c r="A17" s="741"/>
      <c r="B17" s="282" t="s">
        <v>352</v>
      </c>
      <c r="C17" s="228">
        <v>89</v>
      </c>
      <c r="D17" s="280">
        <v>0.8</v>
      </c>
      <c r="E17" s="280">
        <v>1.7</v>
      </c>
      <c r="F17" s="228">
        <v>2</v>
      </c>
      <c r="G17" s="228">
        <v>2</v>
      </c>
      <c r="H17" s="248">
        <f t="shared" si="0"/>
        <v>2</v>
      </c>
      <c r="I17" s="248">
        <f t="shared" si="1"/>
        <v>302.59999999999997</v>
      </c>
      <c r="J17" s="281">
        <f t="shared" si="2"/>
        <v>151.29999999999998</v>
      </c>
    </row>
    <row r="18" spans="1:10">
      <c r="A18" s="741"/>
      <c r="B18" s="282" t="s">
        <v>353</v>
      </c>
      <c r="C18" s="228">
        <v>74</v>
      </c>
      <c r="D18" s="280">
        <v>0.6</v>
      </c>
      <c r="E18" s="280">
        <v>1.5</v>
      </c>
      <c r="F18" s="228">
        <v>2</v>
      </c>
      <c r="G18" s="228">
        <v>2</v>
      </c>
      <c r="H18" s="248">
        <f t="shared" si="0"/>
        <v>2</v>
      </c>
      <c r="I18" s="248">
        <f t="shared" si="1"/>
        <v>222</v>
      </c>
      <c r="J18" s="281">
        <f t="shared" si="2"/>
        <v>111</v>
      </c>
    </row>
    <row r="19" spans="1:10">
      <c r="A19" s="741"/>
      <c r="B19" s="282" t="s">
        <v>353</v>
      </c>
      <c r="C19" s="228">
        <v>74</v>
      </c>
      <c r="D19" s="280">
        <v>0.6</v>
      </c>
      <c r="E19" s="280">
        <v>1.5</v>
      </c>
      <c r="F19" s="228">
        <v>2</v>
      </c>
      <c r="G19" s="228">
        <v>2</v>
      </c>
      <c r="H19" s="248">
        <f t="shared" si="0"/>
        <v>2</v>
      </c>
      <c r="I19" s="248">
        <f t="shared" si="1"/>
        <v>222</v>
      </c>
      <c r="J19" s="281">
        <f t="shared" si="2"/>
        <v>111</v>
      </c>
    </row>
    <row r="20" spans="1:10">
      <c r="A20" s="741"/>
      <c r="B20" s="282" t="s">
        <v>354</v>
      </c>
      <c r="C20" s="228">
        <v>49</v>
      </c>
      <c r="D20" s="280">
        <v>0.6</v>
      </c>
      <c r="E20" s="280">
        <v>1.5</v>
      </c>
      <c r="F20" s="228">
        <v>2</v>
      </c>
      <c r="G20" s="228">
        <v>2</v>
      </c>
      <c r="H20" s="248">
        <f t="shared" si="0"/>
        <v>2</v>
      </c>
      <c r="I20" s="248">
        <f t="shared" si="1"/>
        <v>147</v>
      </c>
      <c r="J20" s="281">
        <f t="shared" si="2"/>
        <v>73.5</v>
      </c>
    </row>
    <row r="21" spans="1:10">
      <c r="A21" s="741"/>
      <c r="B21" s="282" t="s">
        <v>355</v>
      </c>
      <c r="C21" s="228">
        <v>72</v>
      </c>
      <c r="D21" s="280">
        <v>0.6</v>
      </c>
      <c r="E21" s="280">
        <v>1.5</v>
      </c>
      <c r="F21" s="228">
        <v>2</v>
      </c>
      <c r="G21" s="228">
        <v>2</v>
      </c>
      <c r="H21" s="248">
        <f t="shared" si="0"/>
        <v>2</v>
      </c>
      <c r="I21" s="248">
        <f t="shared" si="1"/>
        <v>216</v>
      </c>
      <c r="J21" s="281">
        <f t="shared" si="2"/>
        <v>108</v>
      </c>
    </row>
    <row r="22" spans="1:10">
      <c r="A22" s="741"/>
      <c r="B22" s="282" t="s">
        <v>356</v>
      </c>
      <c r="C22" s="228">
        <v>90</v>
      </c>
      <c r="D22" s="280">
        <v>0.6</v>
      </c>
      <c r="E22" s="280">
        <v>1.5</v>
      </c>
      <c r="F22" s="228">
        <v>2</v>
      </c>
      <c r="G22" s="228">
        <v>2</v>
      </c>
      <c r="H22" s="248">
        <f t="shared" si="0"/>
        <v>2</v>
      </c>
      <c r="I22" s="248">
        <f t="shared" si="1"/>
        <v>270</v>
      </c>
      <c r="J22" s="281">
        <f t="shared" si="2"/>
        <v>135</v>
      </c>
    </row>
    <row r="23" spans="1:10">
      <c r="A23" s="741"/>
      <c r="B23" s="282" t="s">
        <v>356</v>
      </c>
      <c r="C23" s="228">
        <v>90</v>
      </c>
      <c r="D23" s="280">
        <v>0.6</v>
      </c>
      <c r="E23" s="280">
        <v>1.5</v>
      </c>
      <c r="F23" s="228">
        <v>2</v>
      </c>
      <c r="G23" s="228">
        <v>2</v>
      </c>
      <c r="H23" s="248">
        <f t="shared" si="0"/>
        <v>2</v>
      </c>
      <c r="I23" s="248">
        <f t="shared" si="1"/>
        <v>270</v>
      </c>
      <c r="J23" s="281">
        <f t="shared" si="2"/>
        <v>135</v>
      </c>
    </row>
    <row r="24" spans="1:10">
      <c r="A24" s="741"/>
      <c r="B24" s="282" t="s">
        <v>357</v>
      </c>
      <c r="C24" s="228">
        <v>71</v>
      </c>
      <c r="D24" s="280">
        <v>0.6</v>
      </c>
      <c r="E24" s="280">
        <v>1.5</v>
      </c>
      <c r="F24" s="228">
        <v>2</v>
      </c>
      <c r="G24" s="228">
        <v>2</v>
      </c>
      <c r="H24" s="248">
        <f t="shared" si="0"/>
        <v>2</v>
      </c>
      <c r="I24" s="248">
        <f t="shared" si="1"/>
        <v>213</v>
      </c>
      <c r="J24" s="281">
        <f t="shared" si="2"/>
        <v>106.5</v>
      </c>
    </row>
    <row r="25" spans="1:10">
      <c r="A25" s="741"/>
      <c r="B25" s="282" t="s">
        <v>358</v>
      </c>
      <c r="C25" s="228">
        <v>90</v>
      </c>
      <c r="D25" s="280">
        <v>0.6</v>
      </c>
      <c r="E25" s="280">
        <v>1.5</v>
      </c>
      <c r="F25" s="228">
        <v>2</v>
      </c>
      <c r="G25" s="228">
        <v>2</v>
      </c>
      <c r="H25" s="248">
        <f t="shared" si="0"/>
        <v>2</v>
      </c>
      <c r="I25" s="248">
        <f t="shared" si="1"/>
        <v>270</v>
      </c>
      <c r="J25" s="281">
        <f t="shared" si="2"/>
        <v>135</v>
      </c>
    </row>
    <row r="26" spans="1:10">
      <c r="A26" s="741"/>
      <c r="B26" s="282" t="s">
        <v>359</v>
      </c>
      <c r="C26" s="228">
        <v>66</v>
      </c>
      <c r="D26" s="280">
        <v>0.8</v>
      </c>
      <c r="E26" s="280">
        <v>1.7</v>
      </c>
      <c r="F26" s="228">
        <v>2</v>
      </c>
      <c r="G26" s="228">
        <v>2</v>
      </c>
      <c r="H26" s="248">
        <f t="shared" si="0"/>
        <v>2</v>
      </c>
      <c r="I26" s="248">
        <f t="shared" si="1"/>
        <v>224.4</v>
      </c>
      <c r="J26" s="281">
        <f t="shared" si="2"/>
        <v>112.2</v>
      </c>
    </row>
    <row r="27" spans="1:10" ht="12.75" customHeight="1">
      <c r="A27" s="741"/>
      <c r="B27" s="282"/>
      <c r="C27" s="228"/>
      <c r="D27" s="280"/>
      <c r="E27" s="280"/>
      <c r="F27" s="228"/>
      <c r="G27" s="228"/>
      <c r="H27" s="248"/>
      <c r="I27" s="248"/>
      <c r="J27" s="281"/>
    </row>
    <row r="28" spans="1:10">
      <c r="A28" s="741"/>
      <c r="B28" s="282" t="s">
        <v>360</v>
      </c>
      <c r="C28" s="228">
        <v>7</v>
      </c>
      <c r="D28" s="280">
        <v>0.6</v>
      </c>
      <c r="E28" s="280">
        <v>1.5</v>
      </c>
      <c r="F28" s="228">
        <v>1.8</v>
      </c>
      <c r="G28" s="228">
        <v>1.8</v>
      </c>
      <c r="H28" s="248">
        <f>SUM(F28:G28)/2</f>
        <v>1.8</v>
      </c>
      <c r="I28" s="248">
        <f>SUM(C28*E28*H28)</f>
        <v>18.900000000000002</v>
      </c>
      <c r="J28" s="281">
        <f>SUM(C28*E28)</f>
        <v>10.5</v>
      </c>
    </row>
    <row r="29" spans="1:10">
      <c r="A29" s="741"/>
      <c r="B29" s="282" t="s">
        <v>360</v>
      </c>
      <c r="C29" s="228">
        <v>10</v>
      </c>
      <c r="D29" s="280">
        <v>0.6</v>
      </c>
      <c r="E29" s="280">
        <v>1.5</v>
      </c>
      <c r="F29" s="228">
        <v>1.8</v>
      </c>
      <c r="G29" s="228">
        <v>1.8</v>
      </c>
      <c r="H29" s="248">
        <f t="shared" ref="H29:H71" si="3">SUM(F29:G29)/2</f>
        <v>1.8</v>
      </c>
      <c r="I29" s="248">
        <f t="shared" ref="I29:I71" si="4">SUM(C29*E29*H29)</f>
        <v>27</v>
      </c>
      <c r="J29" s="281">
        <f t="shared" ref="J29:J71" si="5">SUM(C29*E29)</f>
        <v>15</v>
      </c>
    </row>
    <row r="30" spans="1:10">
      <c r="A30" s="741"/>
      <c r="B30" s="282" t="s">
        <v>361</v>
      </c>
      <c r="C30" s="228">
        <v>7</v>
      </c>
      <c r="D30" s="280">
        <v>0.6</v>
      </c>
      <c r="E30" s="280">
        <v>1.5</v>
      </c>
      <c r="F30" s="228">
        <v>1.8</v>
      </c>
      <c r="G30" s="228">
        <v>1.8</v>
      </c>
      <c r="H30" s="248">
        <f t="shared" si="3"/>
        <v>1.8</v>
      </c>
      <c r="I30" s="248">
        <f t="shared" si="4"/>
        <v>18.900000000000002</v>
      </c>
      <c r="J30" s="281">
        <f t="shared" si="5"/>
        <v>10.5</v>
      </c>
    </row>
    <row r="31" spans="1:10">
      <c r="A31" s="741"/>
      <c r="B31" s="282" t="s">
        <v>361</v>
      </c>
      <c r="C31" s="228">
        <v>10</v>
      </c>
      <c r="D31" s="280">
        <v>0.6</v>
      </c>
      <c r="E31" s="280">
        <v>1.5</v>
      </c>
      <c r="F31" s="228">
        <v>1.8</v>
      </c>
      <c r="G31" s="228">
        <v>1.8</v>
      </c>
      <c r="H31" s="248">
        <f t="shared" si="3"/>
        <v>1.8</v>
      </c>
      <c r="I31" s="248">
        <f t="shared" si="4"/>
        <v>27</v>
      </c>
      <c r="J31" s="281">
        <f t="shared" si="5"/>
        <v>15</v>
      </c>
    </row>
    <row r="32" spans="1:10">
      <c r="A32" s="741"/>
      <c r="B32" s="282" t="s">
        <v>362</v>
      </c>
      <c r="C32" s="228">
        <v>7</v>
      </c>
      <c r="D32" s="280">
        <v>0.6</v>
      </c>
      <c r="E32" s="280">
        <v>1.5</v>
      </c>
      <c r="F32" s="228">
        <v>1.8</v>
      </c>
      <c r="G32" s="228">
        <v>1.8</v>
      </c>
      <c r="H32" s="248">
        <f t="shared" si="3"/>
        <v>1.8</v>
      </c>
      <c r="I32" s="248">
        <f t="shared" si="4"/>
        <v>18.900000000000002</v>
      </c>
      <c r="J32" s="281">
        <f t="shared" si="5"/>
        <v>10.5</v>
      </c>
    </row>
    <row r="33" spans="1:10">
      <c r="A33" s="741"/>
      <c r="B33" s="282" t="s">
        <v>362</v>
      </c>
      <c r="C33" s="228">
        <v>9</v>
      </c>
      <c r="D33" s="280">
        <v>0.6</v>
      </c>
      <c r="E33" s="280">
        <v>1.5</v>
      </c>
      <c r="F33" s="228">
        <v>1.8</v>
      </c>
      <c r="G33" s="228">
        <v>1.8</v>
      </c>
      <c r="H33" s="248">
        <f t="shared" si="3"/>
        <v>1.8</v>
      </c>
      <c r="I33" s="248">
        <f t="shared" si="4"/>
        <v>24.3</v>
      </c>
      <c r="J33" s="281">
        <f t="shared" si="5"/>
        <v>13.5</v>
      </c>
    </row>
    <row r="34" spans="1:10">
      <c r="A34" s="741"/>
      <c r="B34" s="282" t="s">
        <v>361</v>
      </c>
      <c r="C34" s="228">
        <v>9</v>
      </c>
      <c r="D34" s="280">
        <v>0.6</v>
      </c>
      <c r="E34" s="280">
        <v>1.5</v>
      </c>
      <c r="F34" s="228">
        <v>1.8</v>
      </c>
      <c r="G34" s="228">
        <v>1.8</v>
      </c>
      <c r="H34" s="248">
        <f t="shared" si="3"/>
        <v>1.8</v>
      </c>
      <c r="I34" s="248">
        <f t="shared" si="4"/>
        <v>24.3</v>
      </c>
      <c r="J34" s="281">
        <f t="shared" si="5"/>
        <v>13.5</v>
      </c>
    </row>
    <row r="35" spans="1:10">
      <c r="A35" s="741"/>
      <c r="B35" s="282" t="s">
        <v>361</v>
      </c>
      <c r="C35" s="228">
        <v>9</v>
      </c>
      <c r="D35" s="280">
        <v>0.6</v>
      </c>
      <c r="E35" s="280">
        <v>1.5</v>
      </c>
      <c r="F35" s="228">
        <v>1.8</v>
      </c>
      <c r="G35" s="228">
        <v>1.8</v>
      </c>
      <c r="H35" s="248">
        <f t="shared" si="3"/>
        <v>1.8</v>
      </c>
      <c r="I35" s="248">
        <f t="shared" si="4"/>
        <v>24.3</v>
      </c>
      <c r="J35" s="281">
        <f t="shared" si="5"/>
        <v>13.5</v>
      </c>
    </row>
    <row r="36" spans="1:10">
      <c r="A36" s="741"/>
      <c r="B36" s="282" t="s">
        <v>363</v>
      </c>
      <c r="C36" s="228">
        <v>8</v>
      </c>
      <c r="D36" s="280">
        <v>0.6</v>
      </c>
      <c r="E36" s="280">
        <v>1.5</v>
      </c>
      <c r="F36" s="228">
        <v>1.8</v>
      </c>
      <c r="G36" s="228">
        <v>1.8</v>
      </c>
      <c r="H36" s="248">
        <f t="shared" si="3"/>
        <v>1.8</v>
      </c>
      <c r="I36" s="248">
        <f t="shared" si="4"/>
        <v>21.6</v>
      </c>
      <c r="J36" s="281">
        <f t="shared" si="5"/>
        <v>12</v>
      </c>
    </row>
    <row r="37" spans="1:10">
      <c r="A37" s="741"/>
      <c r="B37" s="282" t="s">
        <v>363</v>
      </c>
      <c r="C37" s="228">
        <v>8</v>
      </c>
      <c r="D37" s="280">
        <v>0.6</v>
      </c>
      <c r="E37" s="280">
        <v>1.5</v>
      </c>
      <c r="F37" s="228">
        <v>1.8</v>
      </c>
      <c r="G37" s="228">
        <v>1.8</v>
      </c>
      <c r="H37" s="248">
        <f t="shared" si="3"/>
        <v>1.8</v>
      </c>
      <c r="I37" s="248">
        <f t="shared" si="4"/>
        <v>21.6</v>
      </c>
      <c r="J37" s="281">
        <f t="shared" si="5"/>
        <v>12</v>
      </c>
    </row>
    <row r="38" spans="1:10">
      <c r="A38" s="741"/>
      <c r="B38" s="282" t="s">
        <v>363</v>
      </c>
      <c r="C38" s="228">
        <v>7</v>
      </c>
      <c r="D38" s="280">
        <v>0.6</v>
      </c>
      <c r="E38" s="280">
        <v>1.5</v>
      </c>
      <c r="F38" s="228">
        <v>1.8</v>
      </c>
      <c r="G38" s="228">
        <v>1.8</v>
      </c>
      <c r="H38" s="248">
        <f t="shared" si="3"/>
        <v>1.8</v>
      </c>
      <c r="I38" s="248">
        <f t="shared" si="4"/>
        <v>18.900000000000002</v>
      </c>
      <c r="J38" s="281">
        <f t="shared" si="5"/>
        <v>10.5</v>
      </c>
    </row>
    <row r="39" spans="1:10">
      <c r="A39" s="741"/>
      <c r="B39" s="282" t="s">
        <v>363</v>
      </c>
      <c r="C39" s="228">
        <v>7</v>
      </c>
      <c r="D39" s="280">
        <v>0.6</v>
      </c>
      <c r="E39" s="280">
        <v>1.5</v>
      </c>
      <c r="F39" s="228">
        <v>1.8</v>
      </c>
      <c r="G39" s="228">
        <v>1.8</v>
      </c>
      <c r="H39" s="248">
        <f t="shared" si="3"/>
        <v>1.8</v>
      </c>
      <c r="I39" s="248">
        <f t="shared" si="4"/>
        <v>18.900000000000002</v>
      </c>
      <c r="J39" s="281">
        <f t="shared" si="5"/>
        <v>10.5</v>
      </c>
    </row>
    <row r="40" spans="1:10">
      <c r="A40" s="741"/>
      <c r="B40" s="282" t="s">
        <v>364</v>
      </c>
      <c r="C40" s="228">
        <v>7</v>
      </c>
      <c r="D40" s="280">
        <v>0.6</v>
      </c>
      <c r="E40" s="280">
        <v>1.5</v>
      </c>
      <c r="F40" s="228">
        <v>1.8</v>
      </c>
      <c r="G40" s="228">
        <v>1.8</v>
      </c>
      <c r="H40" s="248">
        <f t="shared" si="3"/>
        <v>1.8</v>
      </c>
      <c r="I40" s="248">
        <f t="shared" si="4"/>
        <v>18.900000000000002</v>
      </c>
      <c r="J40" s="281">
        <f t="shared" si="5"/>
        <v>10.5</v>
      </c>
    </row>
    <row r="41" spans="1:10">
      <c r="A41" s="741"/>
      <c r="B41" s="282" t="s">
        <v>364</v>
      </c>
      <c r="C41" s="228">
        <v>10</v>
      </c>
      <c r="D41" s="280">
        <v>0.6</v>
      </c>
      <c r="E41" s="280">
        <v>1.5</v>
      </c>
      <c r="F41" s="228">
        <v>1.8</v>
      </c>
      <c r="G41" s="228">
        <v>1.8</v>
      </c>
      <c r="H41" s="248">
        <f t="shared" si="3"/>
        <v>1.8</v>
      </c>
      <c r="I41" s="248">
        <f t="shared" si="4"/>
        <v>27</v>
      </c>
      <c r="J41" s="281">
        <f t="shared" si="5"/>
        <v>15</v>
      </c>
    </row>
    <row r="42" spans="1:10">
      <c r="A42" s="741"/>
      <c r="B42" s="282" t="s">
        <v>364</v>
      </c>
      <c r="C42" s="228">
        <v>7</v>
      </c>
      <c r="D42" s="280">
        <v>0.6</v>
      </c>
      <c r="E42" s="280">
        <v>1.5</v>
      </c>
      <c r="F42" s="228">
        <v>1.8</v>
      </c>
      <c r="G42" s="228">
        <v>1.8</v>
      </c>
      <c r="H42" s="248">
        <f t="shared" si="3"/>
        <v>1.8</v>
      </c>
      <c r="I42" s="248">
        <f t="shared" si="4"/>
        <v>18.900000000000002</v>
      </c>
      <c r="J42" s="281">
        <f t="shared" si="5"/>
        <v>10.5</v>
      </c>
    </row>
    <row r="43" spans="1:10">
      <c r="A43" s="741"/>
      <c r="B43" s="282" t="s">
        <v>364</v>
      </c>
      <c r="C43" s="228">
        <v>10</v>
      </c>
      <c r="D43" s="280">
        <v>0.6</v>
      </c>
      <c r="E43" s="280">
        <v>1.5</v>
      </c>
      <c r="F43" s="228">
        <v>1.8</v>
      </c>
      <c r="G43" s="228">
        <v>1.8</v>
      </c>
      <c r="H43" s="248">
        <f t="shared" si="3"/>
        <v>1.8</v>
      </c>
      <c r="I43" s="248">
        <f t="shared" si="4"/>
        <v>27</v>
      </c>
      <c r="J43" s="281">
        <f t="shared" si="5"/>
        <v>15</v>
      </c>
    </row>
    <row r="44" spans="1:10">
      <c r="A44" s="741"/>
      <c r="B44" s="282" t="s">
        <v>365</v>
      </c>
      <c r="C44" s="228">
        <v>10</v>
      </c>
      <c r="D44" s="280">
        <v>0.6</v>
      </c>
      <c r="E44" s="280">
        <v>1.5</v>
      </c>
      <c r="F44" s="228">
        <v>1.8</v>
      </c>
      <c r="G44" s="228">
        <v>1.8</v>
      </c>
      <c r="H44" s="248">
        <f t="shared" si="3"/>
        <v>1.8</v>
      </c>
      <c r="I44" s="248">
        <f t="shared" si="4"/>
        <v>27</v>
      </c>
      <c r="J44" s="281">
        <f t="shared" si="5"/>
        <v>15</v>
      </c>
    </row>
    <row r="45" spans="1:10">
      <c r="A45" s="741"/>
      <c r="B45" s="282" t="s">
        <v>365</v>
      </c>
      <c r="C45" s="228">
        <v>10</v>
      </c>
      <c r="D45" s="280">
        <v>0.6</v>
      </c>
      <c r="E45" s="280">
        <v>1.5</v>
      </c>
      <c r="F45" s="228">
        <v>1.8</v>
      </c>
      <c r="G45" s="228">
        <v>1.8</v>
      </c>
      <c r="H45" s="248">
        <f t="shared" si="3"/>
        <v>1.8</v>
      </c>
      <c r="I45" s="248">
        <f t="shared" si="4"/>
        <v>27</v>
      </c>
      <c r="J45" s="281">
        <f t="shared" si="5"/>
        <v>15</v>
      </c>
    </row>
    <row r="46" spans="1:10">
      <c r="A46" s="741"/>
      <c r="B46" s="282" t="s">
        <v>365</v>
      </c>
      <c r="C46" s="228">
        <v>10</v>
      </c>
      <c r="D46" s="280">
        <v>0.6</v>
      </c>
      <c r="E46" s="280">
        <v>1.5</v>
      </c>
      <c r="F46" s="228">
        <v>1.8</v>
      </c>
      <c r="G46" s="228">
        <v>1.8</v>
      </c>
      <c r="H46" s="248">
        <f t="shared" si="3"/>
        <v>1.8</v>
      </c>
      <c r="I46" s="248">
        <f t="shared" si="4"/>
        <v>27</v>
      </c>
      <c r="J46" s="281">
        <f t="shared" si="5"/>
        <v>15</v>
      </c>
    </row>
    <row r="47" spans="1:10">
      <c r="A47" s="741"/>
      <c r="B47" s="282" t="s">
        <v>365</v>
      </c>
      <c r="C47" s="228">
        <v>10</v>
      </c>
      <c r="D47" s="280">
        <v>0.6</v>
      </c>
      <c r="E47" s="280">
        <v>1.5</v>
      </c>
      <c r="F47" s="228">
        <v>1.8</v>
      </c>
      <c r="G47" s="228">
        <v>1.8</v>
      </c>
      <c r="H47" s="248">
        <f t="shared" si="3"/>
        <v>1.8</v>
      </c>
      <c r="I47" s="248">
        <f t="shared" si="4"/>
        <v>27</v>
      </c>
      <c r="J47" s="281">
        <f t="shared" si="5"/>
        <v>15</v>
      </c>
    </row>
    <row r="48" spans="1:10">
      <c r="A48" s="741"/>
      <c r="B48" s="282" t="s">
        <v>366</v>
      </c>
      <c r="C48" s="228">
        <v>7</v>
      </c>
      <c r="D48" s="280">
        <v>0.6</v>
      </c>
      <c r="E48" s="280">
        <v>1.5</v>
      </c>
      <c r="F48" s="228">
        <v>1.8</v>
      </c>
      <c r="G48" s="228">
        <v>1.8</v>
      </c>
      <c r="H48" s="248">
        <f t="shared" si="3"/>
        <v>1.8</v>
      </c>
      <c r="I48" s="248">
        <f t="shared" si="4"/>
        <v>18.900000000000002</v>
      </c>
      <c r="J48" s="281">
        <f t="shared" si="5"/>
        <v>10.5</v>
      </c>
    </row>
    <row r="49" spans="1:10">
      <c r="A49" s="741"/>
      <c r="B49" s="282" t="s">
        <v>366</v>
      </c>
      <c r="C49" s="228">
        <v>9</v>
      </c>
      <c r="D49" s="280">
        <v>0.6</v>
      </c>
      <c r="E49" s="280">
        <v>1.5</v>
      </c>
      <c r="F49" s="228">
        <v>1.8</v>
      </c>
      <c r="G49" s="228">
        <v>1.8</v>
      </c>
      <c r="H49" s="248">
        <f t="shared" si="3"/>
        <v>1.8</v>
      </c>
      <c r="I49" s="248">
        <f t="shared" si="4"/>
        <v>24.3</v>
      </c>
      <c r="J49" s="281">
        <f t="shared" si="5"/>
        <v>13.5</v>
      </c>
    </row>
    <row r="50" spans="1:10">
      <c r="A50" s="741"/>
      <c r="B50" s="282" t="s">
        <v>366</v>
      </c>
      <c r="C50" s="228">
        <v>6</v>
      </c>
      <c r="D50" s="280">
        <v>0.6</v>
      </c>
      <c r="E50" s="280">
        <v>1.5</v>
      </c>
      <c r="F50" s="228">
        <v>1.8</v>
      </c>
      <c r="G50" s="228">
        <v>1.8</v>
      </c>
      <c r="H50" s="248">
        <f t="shared" si="3"/>
        <v>1.8</v>
      </c>
      <c r="I50" s="248">
        <f t="shared" si="4"/>
        <v>16.2</v>
      </c>
      <c r="J50" s="281">
        <f t="shared" si="5"/>
        <v>9</v>
      </c>
    </row>
    <row r="51" spans="1:10">
      <c r="A51" s="741"/>
      <c r="B51" s="282" t="s">
        <v>366</v>
      </c>
      <c r="C51" s="228">
        <v>6</v>
      </c>
      <c r="D51" s="280">
        <v>0.6</v>
      </c>
      <c r="E51" s="280">
        <v>1.5</v>
      </c>
      <c r="F51" s="228">
        <v>1.8</v>
      </c>
      <c r="G51" s="228">
        <v>1.8</v>
      </c>
      <c r="H51" s="248">
        <f t="shared" si="3"/>
        <v>1.8</v>
      </c>
      <c r="I51" s="248">
        <f t="shared" si="4"/>
        <v>16.2</v>
      </c>
      <c r="J51" s="281">
        <f t="shared" si="5"/>
        <v>9</v>
      </c>
    </row>
    <row r="52" spans="1:10">
      <c r="A52" s="741"/>
      <c r="B52" s="282" t="s">
        <v>366</v>
      </c>
      <c r="C52" s="228">
        <v>7</v>
      </c>
      <c r="D52" s="280">
        <v>0.6</v>
      </c>
      <c r="E52" s="280">
        <v>1.5</v>
      </c>
      <c r="F52" s="228">
        <v>1.8</v>
      </c>
      <c r="G52" s="228">
        <v>1.8</v>
      </c>
      <c r="H52" s="248">
        <f t="shared" si="3"/>
        <v>1.8</v>
      </c>
      <c r="I52" s="248">
        <f t="shared" si="4"/>
        <v>18.900000000000002</v>
      </c>
      <c r="J52" s="281">
        <f t="shared" si="5"/>
        <v>10.5</v>
      </c>
    </row>
    <row r="53" spans="1:10">
      <c r="A53" s="741"/>
      <c r="B53" s="282" t="s">
        <v>366</v>
      </c>
      <c r="C53" s="228">
        <v>10</v>
      </c>
      <c r="D53" s="280">
        <v>0.6</v>
      </c>
      <c r="E53" s="280">
        <v>1.5</v>
      </c>
      <c r="F53" s="228">
        <v>1.8</v>
      </c>
      <c r="G53" s="228">
        <v>1.8</v>
      </c>
      <c r="H53" s="248">
        <f t="shared" si="3"/>
        <v>1.8</v>
      </c>
      <c r="I53" s="248">
        <f t="shared" si="4"/>
        <v>27</v>
      </c>
      <c r="J53" s="281">
        <f t="shared" si="5"/>
        <v>15</v>
      </c>
    </row>
    <row r="54" spans="1:10">
      <c r="A54" s="741"/>
      <c r="B54" s="282" t="s">
        <v>366</v>
      </c>
      <c r="C54" s="228">
        <v>7</v>
      </c>
      <c r="D54" s="280">
        <v>0.6</v>
      </c>
      <c r="E54" s="280">
        <v>1.5</v>
      </c>
      <c r="F54" s="228">
        <v>1.8</v>
      </c>
      <c r="G54" s="228">
        <v>1.8</v>
      </c>
      <c r="H54" s="248">
        <f t="shared" si="3"/>
        <v>1.8</v>
      </c>
      <c r="I54" s="248">
        <f t="shared" si="4"/>
        <v>18.900000000000002</v>
      </c>
      <c r="J54" s="281">
        <f t="shared" si="5"/>
        <v>10.5</v>
      </c>
    </row>
    <row r="55" spans="1:10">
      <c r="A55" s="741"/>
      <c r="B55" s="282" t="s">
        <v>366</v>
      </c>
      <c r="C55" s="228">
        <v>10</v>
      </c>
      <c r="D55" s="280">
        <v>0.6</v>
      </c>
      <c r="E55" s="280">
        <v>1.5</v>
      </c>
      <c r="F55" s="228">
        <v>1.8</v>
      </c>
      <c r="G55" s="228">
        <v>1.8</v>
      </c>
      <c r="H55" s="248">
        <f t="shared" si="3"/>
        <v>1.8</v>
      </c>
      <c r="I55" s="248">
        <f t="shared" si="4"/>
        <v>27</v>
      </c>
      <c r="J55" s="281">
        <f t="shared" si="5"/>
        <v>15</v>
      </c>
    </row>
    <row r="56" spans="1:10">
      <c r="A56" s="741"/>
      <c r="B56" s="282" t="s">
        <v>367</v>
      </c>
      <c r="C56" s="228">
        <v>7</v>
      </c>
      <c r="D56" s="280">
        <v>0.6</v>
      </c>
      <c r="E56" s="280">
        <v>1.5</v>
      </c>
      <c r="F56" s="228">
        <v>1.8</v>
      </c>
      <c r="G56" s="228">
        <v>1.8</v>
      </c>
      <c r="H56" s="248">
        <f t="shared" si="3"/>
        <v>1.8</v>
      </c>
      <c r="I56" s="248">
        <f t="shared" si="4"/>
        <v>18.900000000000002</v>
      </c>
      <c r="J56" s="281">
        <f t="shared" si="5"/>
        <v>10.5</v>
      </c>
    </row>
    <row r="57" spans="1:10">
      <c r="A57" s="741"/>
      <c r="B57" s="282" t="s">
        <v>367</v>
      </c>
      <c r="C57" s="228">
        <v>9</v>
      </c>
      <c r="D57" s="280">
        <v>0.6</v>
      </c>
      <c r="E57" s="280">
        <v>1.5</v>
      </c>
      <c r="F57" s="228">
        <v>1.8</v>
      </c>
      <c r="G57" s="228">
        <v>1.8</v>
      </c>
      <c r="H57" s="248">
        <f t="shared" si="3"/>
        <v>1.8</v>
      </c>
      <c r="I57" s="248">
        <f t="shared" si="4"/>
        <v>24.3</v>
      </c>
      <c r="J57" s="281">
        <f t="shared" si="5"/>
        <v>13.5</v>
      </c>
    </row>
    <row r="58" spans="1:10">
      <c r="A58" s="741"/>
      <c r="B58" s="282" t="s">
        <v>367</v>
      </c>
      <c r="C58" s="228">
        <v>10</v>
      </c>
      <c r="D58" s="280">
        <v>0.6</v>
      </c>
      <c r="E58" s="280">
        <v>1.5</v>
      </c>
      <c r="F58" s="228">
        <v>1.8</v>
      </c>
      <c r="G58" s="228">
        <v>1.8</v>
      </c>
      <c r="H58" s="248">
        <f t="shared" si="3"/>
        <v>1.8</v>
      </c>
      <c r="I58" s="248">
        <f t="shared" si="4"/>
        <v>27</v>
      </c>
      <c r="J58" s="281">
        <f t="shared" si="5"/>
        <v>15</v>
      </c>
    </row>
    <row r="59" spans="1:10">
      <c r="A59" s="741"/>
      <c r="B59" s="282" t="s">
        <v>367</v>
      </c>
      <c r="C59" s="228">
        <v>10</v>
      </c>
      <c r="D59" s="280">
        <v>0.6</v>
      </c>
      <c r="E59" s="280">
        <v>1.5</v>
      </c>
      <c r="F59" s="228">
        <v>1.8</v>
      </c>
      <c r="G59" s="228">
        <v>1.8</v>
      </c>
      <c r="H59" s="248">
        <f t="shared" si="3"/>
        <v>1.8</v>
      </c>
      <c r="I59" s="248">
        <f t="shared" si="4"/>
        <v>27</v>
      </c>
      <c r="J59" s="281">
        <f t="shared" si="5"/>
        <v>15</v>
      </c>
    </row>
    <row r="60" spans="1:10">
      <c r="A60" s="741"/>
      <c r="B60" s="282" t="s">
        <v>368</v>
      </c>
      <c r="C60" s="228">
        <v>8</v>
      </c>
      <c r="D60" s="280">
        <v>0.6</v>
      </c>
      <c r="E60" s="280">
        <v>1.5</v>
      </c>
      <c r="F60" s="228">
        <v>1.8</v>
      </c>
      <c r="G60" s="228">
        <v>1.8</v>
      </c>
      <c r="H60" s="248">
        <f t="shared" si="3"/>
        <v>1.8</v>
      </c>
      <c r="I60" s="248">
        <f t="shared" si="4"/>
        <v>21.6</v>
      </c>
      <c r="J60" s="281">
        <f t="shared" si="5"/>
        <v>12</v>
      </c>
    </row>
    <row r="61" spans="1:10">
      <c r="A61" s="741"/>
      <c r="B61" s="282" t="s">
        <v>368</v>
      </c>
      <c r="C61" s="228">
        <v>8</v>
      </c>
      <c r="D61" s="280">
        <v>0.6</v>
      </c>
      <c r="E61" s="280">
        <v>1.5</v>
      </c>
      <c r="F61" s="228">
        <v>1.8</v>
      </c>
      <c r="G61" s="228">
        <v>1.8</v>
      </c>
      <c r="H61" s="248">
        <f t="shared" si="3"/>
        <v>1.8</v>
      </c>
      <c r="I61" s="248">
        <f t="shared" si="4"/>
        <v>21.6</v>
      </c>
      <c r="J61" s="281">
        <f t="shared" si="5"/>
        <v>12</v>
      </c>
    </row>
    <row r="62" spans="1:10">
      <c r="A62" s="741"/>
      <c r="B62" s="282" t="s">
        <v>368</v>
      </c>
      <c r="C62" s="228">
        <v>9</v>
      </c>
      <c r="D62" s="280">
        <v>0.6</v>
      </c>
      <c r="E62" s="280">
        <v>1.5</v>
      </c>
      <c r="F62" s="228">
        <v>1.8</v>
      </c>
      <c r="G62" s="228">
        <v>1.8</v>
      </c>
      <c r="H62" s="248">
        <f t="shared" si="3"/>
        <v>1.8</v>
      </c>
      <c r="I62" s="248">
        <f t="shared" si="4"/>
        <v>24.3</v>
      </c>
      <c r="J62" s="281">
        <f t="shared" si="5"/>
        <v>13.5</v>
      </c>
    </row>
    <row r="63" spans="1:10">
      <c r="A63" s="741"/>
      <c r="B63" s="282" t="s">
        <v>368</v>
      </c>
      <c r="C63" s="228">
        <v>9</v>
      </c>
      <c r="D63" s="280">
        <v>0.6</v>
      </c>
      <c r="E63" s="280">
        <v>1.5</v>
      </c>
      <c r="F63" s="228">
        <v>1.8</v>
      </c>
      <c r="G63" s="228">
        <v>1.8</v>
      </c>
      <c r="H63" s="248">
        <f t="shared" si="3"/>
        <v>1.8</v>
      </c>
      <c r="I63" s="248">
        <f t="shared" si="4"/>
        <v>24.3</v>
      </c>
      <c r="J63" s="281">
        <f t="shared" si="5"/>
        <v>13.5</v>
      </c>
    </row>
    <row r="64" spans="1:10">
      <c r="A64" s="741"/>
      <c r="B64" s="282" t="s">
        <v>368</v>
      </c>
      <c r="C64" s="228">
        <v>9</v>
      </c>
      <c r="D64" s="280">
        <v>0.6</v>
      </c>
      <c r="E64" s="280">
        <v>1.5</v>
      </c>
      <c r="F64" s="228">
        <v>1.8</v>
      </c>
      <c r="G64" s="228">
        <v>1.8</v>
      </c>
      <c r="H64" s="248">
        <f t="shared" si="3"/>
        <v>1.8</v>
      </c>
      <c r="I64" s="248">
        <f t="shared" si="4"/>
        <v>24.3</v>
      </c>
      <c r="J64" s="281">
        <f t="shared" si="5"/>
        <v>13.5</v>
      </c>
    </row>
    <row r="65" spans="1:10">
      <c r="A65" s="741"/>
      <c r="B65" s="282" t="s">
        <v>368</v>
      </c>
      <c r="C65" s="228">
        <v>9</v>
      </c>
      <c r="D65" s="280">
        <v>0.6</v>
      </c>
      <c r="E65" s="280">
        <v>1.5</v>
      </c>
      <c r="F65" s="228">
        <v>1.8</v>
      </c>
      <c r="G65" s="228">
        <v>1.8</v>
      </c>
      <c r="H65" s="248">
        <f t="shared" si="3"/>
        <v>1.8</v>
      </c>
      <c r="I65" s="248">
        <f t="shared" si="4"/>
        <v>24.3</v>
      </c>
      <c r="J65" s="281">
        <f t="shared" si="5"/>
        <v>13.5</v>
      </c>
    </row>
    <row r="66" spans="1:10">
      <c r="A66" s="741"/>
      <c r="B66" s="282" t="s">
        <v>369</v>
      </c>
      <c r="C66" s="228">
        <v>10</v>
      </c>
      <c r="D66" s="280">
        <v>0.6</v>
      </c>
      <c r="E66" s="280">
        <v>1.5</v>
      </c>
      <c r="F66" s="228">
        <v>1.8</v>
      </c>
      <c r="G66" s="228">
        <v>1.8</v>
      </c>
      <c r="H66" s="248">
        <f t="shared" si="3"/>
        <v>1.8</v>
      </c>
      <c r="I66" s="248">
        <f t="shared" si="4"/>
        <v>27</v>
      </c>
      <c r="J66" s="281">
        <f t="shared" si="5"/>
        <v>15</v>
      </c>
    </row>
    <row r="67" spans="1:10">
      <c r="A67" s="741"/>
      <c r="B67" s="282" t="s">
        <v>369</v>
      </c>
      <c r="C67" s="228">
        <v>12</v>
      </c>
      <c r="D67" s="280">
        <v>0.6</v>
      </c>
      <c r="E67" s="280">
        <v>1.5</v>
      </c>
      <c r="F67" s="228">
        <v>1.8</v>
      </c>
      <c r="G67" s="228">
        <v>1.8</v>
      </c>
      <c r="H67" s="248">
        <f t="shared" si="3"/>
        <v>1.8</v>
      </c>
      <c r="I67" s="248">
        <f t="shared" si="4"/>
        <v>32.4</v>
      </c>
      <c r="J67" s="281">
        <f t="shared" si="5"/>
        <v>18</v>
      </c>
    </row>
    <row r="68" spans="1:10">
      <c r="A68" s="741"/>
      <c r="B68" s="282" t="s">
        <v>370</v>
      </c>
      <c r="C68" s="228">
        <v>7</v>
      </c>
      <c r="D68" s="280">
        <v>0.6</v>
      </c>
      <c r="E68" s="280">
        <v>1.5</v>
      </c>
      <c r="F68" s="228">
        <v>1.8</v>
      </c>
      <c r="G68" s="228">
        <v>1.8</v>
      </c>
      <c r="H68" s="248">
        <f t="shared" si="3"/>
        <v>1.8</v>
      </c>
      <c r="I68" s="248">
        <f t="shared" si="4"/>
        <v>18.900000000000002</v>
      </c>
      <c r="J68" s="281">
        <f t="shared" si="5"/>
        <v>10.5</v>
      </c>
    </row>
    <row r="69" spans="1:10">
      <c r="A69" s="741"/>
      <c r="B69" s="282" t="s">
        <v>370</v>
      </c>
      <c r="C69" s="228">
        <v>20</v>
      </c>
      <c r="D69" s="280">
        <v>0.6</v>
      </c>
      <c r="E69" s="280">
        <v>1.5</v>
      </c>
      <c r="F69" s="228">
        <v>1.8</v>
      </c>
      <c r="G69" s="228">
        <v>1.8</v>
      </c>
      <c r="H69" s="248">
        <f t="shared" si="3"/>
        <v>1.8</v>
      </c>
      <c r="I69" s="248">
        <f t="shared" si="4"/>
        <v>54</v>
      </c>
      <c r="J69" s="281">
        <f t="shared" si="5"/>
        <v>30</v>
      </c>
    </row>
    <row r="70" spans="1:10">
      <c r="A70" s="741"/>
      <c r="B70" s="282" t="s">
        <v>370</v>
      </c>
      <c r="C70" s="228">
        <v>8</v>
      </c>
      <c r="D70" s="280">
        <v>0.6</v>
      </c>
      <c r="E70" s="280">
        <v>1.5</v>
      </c>
      <c r="F70" s="228">
        <v>1.8</v>
      </c>
      <c r="G70" s="228">
        <v>1.8</v>
      </c>
      <c r="H70" s="248">
        <f t="shared" si="3"/>
        <v>1.8</v>
      </c>
      <c r="I70" s="248">
        <f t="shared" si="4"/>
        <v>21.6</v>
      </c>
      <c r="J70" s="281">
        <f t="shared" si="5"/>
        <v>12</v>
      </c>
    </row>
    <row r="71" spans="1:10">
      <c r="A71" s="741"/>
      <c r="B71" s="282" t="s">
        <v>370</v>
      </c>
      <c r="C71" s="228">
        <v>8</v>
      </c>
      <c r="D71" s="280">
        <v>0.6</v>
      </c>
      <c r="E71" s="280">
        <v>1.5</v>
      </c>
      <c r="F71" s="228">
        <v>1.8</v>
      </c>
      <c r="G71" s="228">
        <v>1.8</v>
      </c>
      <c r="H71" s="248">
        <f t="shared" si="3"/>
        <v>1.8</v>
      </c>
      <c r="I71" s="248">
        <f t="shared" si="4"/>
        <v>21.6</v>
      </c>
      <c r="J71" s="281">
        <f t="shared" si="5"/>
        <v>12</v>
      </c>
    </row>
    <row r="72" spans="1:10">
      <c r="A72" s="741"/>
      <c r="B72" s="282"/>
      <c r="C72" s="228"/>
      <c r="D72" s="409"/>
      <c r="E72" s="409"/>
      <c r="F72" s="248"/>
      <c r="G72" s="248"/>
      <c r="H72" s="248"/>
      <c r="I72" s="227"/>
      <c r="J72" s="281"/>
    </row>
    <row r="73" spans="1:10">
      <c r="A73" s="741"/>
      <c r="B73" s="282" t="s">
        <v>371</v>
      </c>
      <c r="C73" s="248" t="s">
        <v>372</v>
      </c>
      <c r="D73" s="283" t="s">
        <v>373</v>
      </c>
      <c r="E73" s="283" t="s">
        <v>239</v>
      </c>
      <c r="F73" s="284" t="s">
        <v>239</v>
      </c>
      <c r="G73" s="284" t="s">
        <v>239</v>
      </c>
      <c r="H73" s="284" t="s">
        <v>239</v>
      </c>
      <c r="I73" s="227">
        <f>(3.2*1.6*1.7)*2</f>
        <v>17.408000000000001</v>
      </c>
      <c r="J73" s="281">
        <f>5.12*2</f>
        <v>10.24</v>
      </c>
    </row>
    <row r="74" spans="1:10">
      <c r="A74" s="741"/>
      <c r="B74" s="282" t="s">
        <v>374</v>
      </c>
      <c r="C74" s="248" t="s">
        <v>375</v>
      </c>
      <c r="D74" s="283" t="s">
        <v>373</v>
      </c>
      <c r="E74" s="283" t="s">
        <v>239</v>
      </c>
      <c r="F74" s="284" t="s">
        <v>239</v>
      </c>
      <c r="G74" s="284" t="s">
        <v>239</v>
      </c>
      <c r="H74" s="284" t="s">
        <v>239</v>
      </c>
      <c r="I74" s="227">
        <f>(3.2*1.6*1.7)*4</f>
        <v>34.816000000000003</v>
      </c>
      <c r="J74" s="281">
        <f>5.12*4</f>
        <v>20.48</v>
      </c>
    </row>
    <row r="75" spans="1:10">
      <c r="A75" s="741"/>
      <c r="B75" s="282" t="s">
        <v>376</v>
      </c>
      <c r="C75" s="248" t="s">
        <v>372</v>
      </c>
      <c r="D75" s="283" t="s">
        <v>373</v>
      </c>
      <c r="E75" s="283" t="s">
        <v>239</v>
      </c>
      <c r="F75" s="284" t="s">
        <v>239</v>
      </c>
      <c r="G75" s="284" t="s">
        <v>239</v>
      </c>
      <c r="H75" s="284" t="s">
        <v>239</v>
      </c>
      <c r="I75" s="227">
        <f>(3.2*1.6*1.7)*2</f>
        <v>17.408000000000001</v>
      </c>
      <c r="J75" s="281">
        <f>5.12*2</f>
        <v>10.24</v>
      </c>
    </row>
    <row r="76" spans="1:10">
      <c r="A76" s="741"/>
      <c r="B76" s="282" t="s">
        <v>377</v>
      </c>
      <c r="C76" s="248" t="s">
        <v>375</v>
      </c>
      <c r="D76" s="283" t="s">
        <v>373</v>
      </c>
      <c r="E76" s="283" t="s">
        <v>239</v>
      </c>
      <c r="F76" s="284" t="s">
        <v>239</v>
      </c>
      <c r="G76" s="284" t="s">
        <v>239</v>
      </c>
      <c r="H76" s="284" t="s">
        <v>239</v>
      </c>
      <c r="I76" s="227">
        <f>(3.2*1.6*1.7)*4</f>
        <v>34.816000000000003</v>
      </c>
      <c r="J76" s="281">
        <f>5.12*4</f>
        <v>20.48</v>
      </c>
    </row>
    <row r="77" spans="1:10">
      <c r="A77" s="741"/>
      <c r="B77" s="282" t="s">
        <v>378</v>
      </c>
      <c r="C77" s="248" t="s">
        <v>375</v>
      </c>
      <c r="D77" s="283" t="s">
        <v>373</v>
      </c>
      <c r="E77" s="283" t="s">
        <v>239</v>
      </c>
      <c r="F77" s="284" t="s">
        <v>239</v>
      </c>
      <c r="G77" s="284" t="s">
        <v>239</v>
      </c>
      <c r="H77" s="284" t="s">
        <v>239</v>
      </c>
      <c r="I77" s="227">
        <f>(3.2*1.6*1.7)*4</f>
        <v>34.816000000000003</v>
      </c>
      <c r="J77" s="281">
        <f>5.12*4</f>
        <v>20.48</v>
      </c>
    </row>
    <row r="78" spans="1:10">
      <c r="A78" s="741"/>
      <c r="B78" s="282" t="s">
        <v>379</v>
      </c>
      <c r="C78" s="248" t="s">
        <v>375</v>
      </c>
      <c r="D78" s="283" t="s">
        <v>373</v>
      </c>
      <c r="E78" s="283" t="s">
        <v>239</v>
      </c>
      <c r="F78" s="284" t="s">
        <v>239</v>
      </c>
      <c r="G78" s="284" t="s">
        <v>239</v>
      </c>
      <c r="H78" s="284" t="s">
        <v>239</v>
      </c>
      <c r="I78" s="227">
        <f>(3.2*1.6*1.7)*4</f>
        <v>34.816000000000003</v>
      </c>
      <c r="J78" s="281">
        <f>5.12*4</f>
        <v>20.48</v>
      </c>
    </row>
    <row r="79" spans="1:10">
      <c r="A79" s="741"/>
      <c r="B79" s="282" t="s">
        <v>380</v>
      </c>
      <c r="C79" s="248" t="s">
        <v>381</v>
      </c>
      <c r="D79" s="283" t="s">
        <v>373</v>
      </c>
      <c r="E79" s="283" t="s">
        <v>239</v>
      </c>
      <c r="F79" s="284" t="s">
        <v>239</v>
      </c>
      <c r="G79" s="284" t="s">
        <v>239</v>
      </c>
      <c r="H79" s="284" t="s">
        <v>239</v>
      </c>
      <c r="I79" s="227">
        <f>(3.2*1.6*1.7)*8</f>
        <v>69.632000000000005</v>
      </c>
      <c r="J79" s="281">
        <f>5.12*8</f>
        <v>40.96</v>
      </c>
    </row>
    <row r="80" spans="1:10">
      <c r="A80" s="741"/>
      <c r="B80" s="282" t="s">
        <v>382</v>
      </c>
      <c r="C80" s="248" t="s">
        <v>375</v>
      </c>
      <c r="D80" s="283" t="s">
        <v>373</v>
      </c>
      <c r="E80" s="283" t="s">
        <v>239</v>
      </c>
      <c r="F80" s="284" t="s">
        <v>239</v>
      </c>
      <c r="G80" s="284" t="s">
        <v>239</v>
      </c>
      <c r="H80" s="284" t="s">
        <v>239</v>
      </c>
      <c r="I80" s="227">
        <f>(3.2*1.6*1.7)*4</f>
        <v>34.816000000000003</v>
      </c>
      <c r="J80" s="281">
        <f>5.12*4</f>
        <v>20.48</v>
      </c>
    </row>
    <row r="81" spans="1:10">
      <c r="A81" s="741"/>
      <c r="B81" s="282" t="s">
        <v>383</v>
      </c>
      <c r="C81" s="248" t="s">
        <v>384</v>
      </c>
      <c r="D81" s="283" t="s">
        <v>373</v>
      </c>
      <c r="E81" s="283" t="s">
        <v>239</v>
      </c>
      <c r="F81" s="284" t="s">
        <v>239</v>
      </c>
      <c r="G81" s="284" t="s">
        <v>239</v>
      </c>
      <c r="H81" s="284" t="s">
        <v>239</v>
      </c>
      <c r="I81" s="227">
        <f>(3.2*1.6*1.7)*6</f>
        <v>52.224000000000004</v>
      </c>
      <c r="J81" s="281">
        <f>5.12*6</f>
        <v>30.72</v>
      </c>
    </row>
    <row r="82" spans="1:10">
      <c r="A82" s="741"/>
      <c r="B82" s="282" t="s">
        <v>385</v>
      </c>
      <c r="C82" s="248" t="s">
        <v>372</v>
      </c>
      <c r="D82" s="283" t="s">
        <v>373</v>
      </c>
      <c r="E82" s="283" t="s">
        <v>239</v>
      </c>
      <c r="F82" s="284" t="s">
        <v>239</v>
      </c>
      <c r="G82" s="284" t="s">
        <v>239</v>
      </c>
      <c r="H82" s="284" t="s">
        <v>239</v>
      </c>
      <c r="I82" s="227">
        <f>(3.2*1.6*1.7)*2</f>
        <v>17.408000000000001</v>
      </c>
      <c r="J82" s="281">
        <f>5.12*2</f>
        <v>10.24</v>
      </c>
    </row>
    <row r="83" spans="1:10">
      <c r="A83" s="741"/>
      <c r="B83" s="282" t="s">
        <v>386</v>
      </c>
      <c r="C83" s="248" t="s">
        <v>375</v>
      </c>
      <c r="D83" s="283" t="s">
        <v>373</v>
      </c>
      <c r="E83" s="283" t="s">
        <v>239</v>
      </c>
      <c r="F83" s="284" t="s">
        <v>239</v>
      </c>
      <c r="G83" s="284" t="s">
        <v>239</v>
      </c>
      <c r="H83" s="284" t="s">
        <v>239</v>
      </c>
      <c r="I83" s="227">
        <f>(3.2*1.6*1.7)*4</f>
        <v>34.816000000000003</v>
      </c>
      <c r="J83" s="281">
        <f>5.12*4</f>
        <v>20.48</v>
      </c>
    </row>
    <row r="84" spans="1:10">
      <c r="A84" s="741"/>
      <c r="B84" s="286"/>
      <c r="C84" s="287"/>
      <c r="D84" s="283"/>
      <c r="E84" s="288"/>
      <c r="F84" s="287"/>
      <c r="G84" s="287"/>
      <c r="H84" s="287"/>
      <c r="I84" s="287"/>
      <c r="J84" s="289"/>
    </row>
    <row r="85" spans="1:10">
      <c r="A85" s="741"/>
      <c r="B85" s="410" t="s">
        <v>211</v>
      </c>
      <c r="C85" s="284" t="s">
        <v>239</v>
      </c>
      <c r="D85" s="284" t="s">
        <v>239</v>
      </c>
      <c r="E85" s="284" t="s">
        <v>239</v>
      </c>
      <c r="F85" s="284" t="s">
        <v>239</v>
      </c>
      <c r="G85" s="284" t="s">
        <v>239</v>
      </c>
      <c r="H85" s="284" t="s">
        <v>239</v>
      </c>
      <c r="I85" s="290">
        <f>SUM(I10:I83)</f>
        <v>4912.876000000002</v>
      </c>
      <c r="J85" s="285" t="s">
        <v>239</v>
      </c>
    </row>
    <row r="86" spans="1:10" ht="13.5" thickBot="1">
      <c r="A86" s="742"/>
      <c r="B86" s="411" t="s">
        <v>212</v>
      </c>
      <c r="C86" s="291"/>
      <c r="D86" s="292"/>
      <c r="E86" s="293"/>
      <c r="F86" s="291"/>
      <c r="G86" s="291"/>
      <c r="H86" s="291"/>
      <c r="I86" s="294"/>
      <c r="J86" s="295">
        <f>SUM(J10:J84)</f>
        <v>2548.2799999999993</v>
      </c>
    </row>
    <row r="87" spans="1:10">
      <c r="A87" s="743" t="s">
        <v>348</v>
      </c>
      <c r="B87" s="296" t="s">
        <v>295</v>
      </c>
      <c r="C87" s="297" t="s">
        <v>311</v>
      </c>
      <c r="D87" s="284" t="s">
        <v>239</v>
      </c>
      <c r="E87" s="284" t="s">
        <v>239</v>
      </c>
      <c r="F87" s="746"/>
      <c r="G87" s="747"/>
      <c r="H87" s="747"/>
      <c r="I87" s="747"/>
      <c r="J87" s="748"/>
    </row>
    <row r="88" spans="1:10">
      <c r="A88" s="744"/>
      <c r="B88" s="282" t="s">
        <v>387</v>
      </c>
      <c r="C88" s="298">
        <v>1</v>
      </c>
      <c r="D88" s="284" t="s">
        <v>239</v>
      </c>
      <c r="E88" s="284" t="s">
        <v>239</v>
      </c>
      <c r="F88" s="749"/>
      <c r="G88" s="750"/>
      <c r="H88" s="750"/>
      <c r="I88" s="750"/>
      <c r="J88" s="751"/>
    </row>
    <row r="89" spans="1:10">
      <c r="A89" s="744"/>
      <c r="B89" s="282" t="s">
        <v>388</v>
      </c>
      <c r="C89" s="298">
        <v>11</v>
      </c>
      <c r="D89" s="284" t="s">
        <v>239</v>
      </c>
      <c r="E89" s="284" t="s">
        <v>239</v>
      </c>
      <c r="F89" s="749"/>
      <c r="G89" s="750"/>
      <c r="H89" s="750"/>
      <c r="I89" s="750"/>
      <c r="J89" s="751"/>
    </row>
    <row r="90" spans="1:10">
      <c r="A90" s="744"/>
      <c r="B90" s="282" t="s">
        <v>389</v>
      </c>
      <c r="C90" s="298">
        <v>2</v>
      </c>
      <c r="D90" s="284" t="s">
        <v>239</v>
      </c>
      <c r="E90" s="284" t="s">
        <v>239</v>
      </c>
      <c r="F90" s="749"/>
      <c r="G90" s="750"/>
      <c r="H90" s="750"/>
      <c r="I90" s="750"/>
      <c r="J90" s="751"/>
    </row>
    <row r="91" spans="1:10">
      <c r="A91" s="744"/>
      <c r="B91" s="282" t="s">
        <v>390</v>
      </c>
      <c r="C91" s="298">
        <v>2</v>
      </c>
      <c r="D91" s="284" t="s">
        <v>239</v>
      </c>
      <c r="E91" s="284" t="s">
        <v>239</v>
      </c>
      <c r="F91" s="749"/>
      <c r="G91" s="750"/>
      <c r="H91" s="750"/>
      <c r="I91" s="750"/>
      <c r="J91" s="751"/>
    </row>
    <row r="92" spans="1:10">
      <c r="A92" s="744"/>
      <c r="B92" s="282" t="s">
        <v>391</v>
      </c>
      <c r="C92" s="298">
        <v>1</v>
      </c>
      <c r="D92" s="284" t="s">
        <v>239</v>
      </c>
      <c r="E92" s="284" t="s">
        <v>239</v>
      </c>
      <c r="F92" s="749"/>
      <c r="G92" s="750"/>
      <c r="H92" s="750"/>
      <c r="I92" s="750"/>
      <c r="J92" s="751"/>
    </row>
    <row r="93" spans="1:10">
      <c r="A93" s="744"/>
      <c r="B93" s="282" t="s">
        <v>392</v>
      </c>
      <c r="C93" s="298">
        <v>16</v>
      </c>
      <c r="D93" s="284" t="s">
        <v>239</v>
      </c>
      <c r="E93" s="284" t="s">
        <v>239</v>
      </c>
      <c r="F93" s="749"/>
      <c r="G93" s="750"/>
      <c r="H93" s="750"/>
      <c r="I93" s="750"/>
      <c r="J93" s="751"/>
    </row>
    <row r="94" spans="1:10">
      <c r="A94" s="744"/>
      <c r="B94" s="282" t="s">
        <v>393</v>
      </c>
      <c r="C94" s="298">
        <v>2</v>
      </c>
      <c r="D94" s="284" t="s">
        <v>239</v>
      </c>
      <c r="E94" s="284" t="s">
        <v>239</v>
      </c>
      <c r="F94" s="749"/>
      <c r="G94" s="750"/>
      <c r="H94" s="750"/>
      <c r="I94" s="750"/>
      <c r="J94" s="751"/>
    </row>
    <row r="95" spans="1:10">
      <c r="A95" s="744"/>
      <c r="B95" s="282" t="s">
        <v>394</v>
      </c>
      <c r="C95" s="298">
        <v>4</v>
      </c>
      <c r="D95" s="284" t="s">
        <v>239</v>
      </c>
      <c r="E95" s="284" t="s">
        <v>239</v>
      </c>
      <c r="F95" s="749"/>
      <c r="G95" s="750"/>
      <c r="H95" s="750"/>
      <c r="I95" s="750"/>
      <c r="J95" s="751"/>
    </row>
    <row r="96" spans="1:10">
      <c r="A96" s="744"/>
      <c r="B96" s="282" t="s">
        <v>395</v>
      </c>
      <c r="C96" s="298">
        <v>4</v>
      </c>
      <c r="D96" s="284" t="s">
        <v>239</v>
      </c>
      <c r="E96" s="284" t="s">
        <v>239</v>
      </c>
      <c r="F96" s="749"/>
      <c r="G96" s="750"/>
      <c r="H96" s="750"/>
      <c r="I96" s="750"/>
      <c r="J96" s="751"/>
    </row>
    <row r="97" spans="1:10">
      <c r="A97" s="744"/>
      <c r="B97" s="282" t="s">
        <v>313</v>
      </c>
      <c r="C97" s="298">
        <v>2</v>
      </c>
      <c r="D97" s="284" t="s">
        <v>239</v>
      </c>
      <c r="E97" s="284" t="s">
        <v>239</v>
      </c>
      <c r="F97" s="749"/>
      <c r="G97" s="750"/>
      <c r="H97" s="750"/>
      <c r="I97" s="750"/>
      <c r="J97" s="751"/>
    </row>
    <row r="98" spans="1:10">
      <c r="A98" s="744"/>
      <c r="B98" s="282" t="s">
        <v>396</v>
      </c>
      <c r="C98" s="298">
        <v>2</v>
      </c>
      <c r="D98" s="284" t="s">
        <v>239</v>
      </c>
      <c r="E98" s="284" t="s">
        <v>239</v>
      </c>
      <c r="F98" s="749"/>
      <c r="G98" s="750"/>
      <c r="H98" s="750"/>
      <c r="I98" s="750"/>
      <c r="J98" s="751"/>
    </row>
    <row r="99" spans="1:10">
      <c r="A99" s="744"/>
      <c r="B99" s="282" t="s">
        <v>397</v>
      </c>
      <c r="C99" s="298">
        <v>2</v>
      </c>
      <c r="D99" s="284" t="s">
        <v>239</v>
      </c>
      <c r="E99" s="284" t="s">
        <v>239</v>
      </c>
      <c r="F99" s="749"/>
      <c r="G99" s="750"/>
      <c r="H99" s="750"/>
      <c r="I99" s="750"/>
      <c r="J99" s="751"/>
    </row>
    <row r="100" spans="1:10">
      <c r="A100" s="744"/>
      <c r="B100" s="282" t="s">
        <v>314</v>
      </c>
      <c r="C100" s="284" t="s">
        <v>239</v>
      </c>
      <c r="D100" s="284">
        <v>18</v>
      </c>
      <c r="E100" s="284" t="s">
        <v>8</v>
      </c>
      <c r="F100" s="749"/>
      <c r="G100" s="750"/>
      <c r="H100" s="750"/>
      <c r="I100" s="750"/>
      <c r="J100" s="751"/>
    </row>
    <row r="101" spans="1:10">
      <c r="A101" s="744"/>
      <c r="B101" s="282" t="s">
        <v>398</v>
      </c>
      <c r="C101" s="284" t="s">
        <v>239</v>
      </c>
      <c r="D101" s="284">
        <v>17</v>
      </c>
      <c r="E101" s="284" t="s">
        <v>8</v>
      </c>
      <c r="F101" s="749"/>
      <c r="G101" s="750"/>
      <c r="H101" s="750"/>
      <c r="I101" s="750"/>
      <c r="J101" s="751"/>
    </row>
    <row r="102" spans="1:10">
      <c r="A102" s="744"/>
      <c r="B102" s="282" t="s">
        <v>399</v>
      </c>
      <c r="C102" s="284" t="s">
        <v>239</v>
      </c>
      <c r="D102" s="284">
        <v>2.306</v>
      </c>
      <c r="E102" s="284" t="s">
        <v>4</v>
      </c>
      <c r="F102" s="749"/>
      <c r="G102" s="750"/>
      <c r="H102" s="750"/>
      <c r="I102" s="750"/>
      <c r="J102" s="751"/>
    </row>
    <row r="103" spans="1:10">
      <c r="A103" s="744"/>
      <c r="B103" s="282" t="s">
        <v>400</v>
      </c>
      <c r="C103" s="412" t="s">
        <v>239</v>
      </c>
      <c r="D103" s="284">
        <v>14</v>
      </c>
      <c r="E103" s="284" t="s">
        <v>8</v>
      </c>
      <c r="F103" s="749"/>
      <c r="G103" s="750"/>
      <c r="H103" s="750"/>
      <c r="I103" s="750"/>
      <c r="J103" s="751"/>
    </row>
    <row r="104" spans="1:10">
      <c r="A104" s="744"/>
      <c r="B104" s="282" t="s">
        <v>401</v>
      </c>
      <c r="C104" s="413" t="s">
        <v>239</v>
      </c>
      <c r="D104" s="300">
        <f>167.32+66.999</f>
        <v>234.31899999999999</v>
      </c>
      <c r="E104" s="284" t="s">
        <v>4</v>
      </c>
      <c r="F104" s="749"/>
      <c r="G104" s="750"/>
      <c r="H104" s="750"/>
      <c r="I104" s="750"/>
      <c r="J104" s="751"/>
    </row>
    <row r="105" spans="1:10">
      <c r="A105" s="744"/>
      <c r="B105" s="282" t="s">
        <v>402</v>
      </c>
      <c r="C105" s="284" t="s">
        <v>239</v>
      </c>
      <c r="D105" s="414">
        <v>67.878</v>
      </c>
      <c r="E105" s="284" t="s">
        <v>4</v>
      </c>
      <c r="F105" s="749"/>
      <c r="G105" s="750"/>
      <c r="H105" s="750"/>
      <c r="I105" s="750"/>
      <c r="J105" s="751"/>
    </row>
    <row r="106" spans="1:10">
      <c r="A106" s="744"/>
      <c r="B106" s="282" t="s">
        <v>403</v>
      </c>
      <c r="C106" s="284" t="s">
        <v>239</v>
      </c>
      <c r="D106" s="415">
        <v>27.95</v>
      </c>
      <c r="E106" s="284" t="s">
        <v>4</v>
      </c>
      <c r="F106" s="749"/>
      <c r="G106" s="750"/>
      <c r="H106" s="750"/>
      <c r="I106" s="750"/>
      <c r="J106" s="751"/>
    </row>
    <row r="107" spans="1:10">
      <c r="A107" s="744"/>
      <c r="B107" s="282" t="s">
        <v>404</v>
      </c>
      <c r="C107" s="284" t="s">
        <v>239</v>
      </c>
      <c r="D107" s="415">
        <v>21.5</v>
      </c>
      <c r="E107" s="284" t="s">
        <v>4</v>
      </c>
      <c r="F107" s="749"/>
      <c r="G107" s="750"/>
      <c r="H107" s="750"/>
      <c r="I107" s="750"/>
      <c r="J107" s="751"/>
    </row>
    <row r="108" spans="1:10">
      <c r="A108" s="744"/>
      <c r="B108" s="299" t="s">
        <v>405</v>
      </c>
      <c r="C108" s="228">
        <f>SUM(C28:C71)</f>
        <v>387</v>
      </c>
      <c r="D108" s="300">
        <f>0.76^2*3.1416*C108/4</f>
        <v>175.56140447999999</v>
      </c>
      <c r="E108" s="248" t="s">
        <v>4</v>
      </c>
      <c r="F108" s="749"/>
      <c r="G108" s="750"/>
      <c r="H108" s="750"/>
      <c r="I108" s="750"/>
      <c r="J108" s="751"/>
    </row>
    <row r="109" spans="1:10">
      <c r="A109" s="744"/>
      <c r="B109" s="299" t="s">
        <v>406</v>
      </c>
      <c r="C109" s="228">
        <f>C10+C11+C12+C13+C14+C15+C16+C18+C19+C20+C21+C22+C23+C25+C24</f>
        <v>986</v>
      </c>
      <c r="D109" s="300">
        <f>0.76^2*3.1416*C109/4</f>
        <v>447.29598143999999</v>
      </c>
      <c r="E109" s="248" t="s">
        <v>4</v>
      </c>
      <c r="F109" s="749"/>
      <c r="G109" s="750"/>
      <c r="H109" s="750"/>
      <c r="I109" s="750"/>
      <c r="J109" s="751"/>
    </row>
    <row r="110" spans="1:10">
      <c r="A110" s="744"/>
      <c r="B110" s="299" t="s">
        <v>407</v>
      </c>
      <c r="C110" s="280">
        <f>C26+C17</f>
        <v>155</v>
      </c>
      <c r="D110" s="300">
        <f>1^2*3.1416*C110/4</f>
        <v>121.73699999999999</v>
      </c>
      <c r="E110" s="248" t="s">
        <v>4</v>
      </c>
      <c r="F110" s="749"/>
      <c r="G110" s="750"/>
      <c r="H110" s="750"/>
      <c r="I110" s="750"/>
      <c r="J110" s="751"/>
    </row>
    <row r="111" spans="1:10">
      <c r="A111" s="744"/>
      <c r="B111" s="299" t="s">
        <v>408</v>
      </c>
      <c r="C111" s="298">
        <v>44</v>
      </c>
      <c r="D111" s="300">
        <f>SUM(I73:I83)</f>
        <v>382.976</v>
      </c>
      <c r="E111" s="248" t="s">
        <v>4</v>
      </c>
      <c r="F111" s="749"/>
      <c r="G111" s="750"/>
      <c r="H111" s="750"/>
      <c r="I111" s="750"/>
      <c r="J111" s="751"/>
    </row>
    <row r="112" spans="1:10">
      <c r="A112" s="744"/>
      <c r="B112" s="299" t="s">
        <v>218</v>
      </c>
      <c r="C112" s="248">
        <v>0</v>
      </c>
      <c r="D112" s="300">
        <f>I85+D104</f>
        <v>5147.1950000000024</v>
      </c>
      <c r="E112" s="248" t="s">
        <v>4</v>
      </c>
      <c r="F112" s="749"/>
      <c r="G112" s="750"/>
      <c r="H112" s="750"/>
      <c r="I112" s="750"/>
      <c r="J112" s="751"/>
    </row>
    <row r="113" spans="1:10">
      <c r="A113" s="744"/>
      <c r="B113" s="299" t="s">
        <v>296</v>
      </c>
      <c r="C113" s="248">
        <v>0</v>
      </c>
      <c r="D113" s="416">
        <f>SUM(D108:D111)</f>
        <v>1127.5703859199998</v>
      </c>
      <c r="E113" s="248" t="s">
        <v>4</v>
      </c>
      <c r="F113" s="749"/>
      <c r="G113" s="750"/>
      <c r="H113" s="750"/>
      <c r="I113" s="750"/>
      <c r="J113" s="751"/>
    </row>
    <row r="114" spans="1:10">
      <c r="A114" s="744"/>
      <c r="B114" s="299" t="s">
        <v>215</v>
      </c>
      <c r="C114" s="248">
        <v>0</v>
      </c>
      <c r="D114" s="417">
        <f>(I85-D113)+D105</f>
        <v>3853.1836140800024</v>
      </c>
      <c r="E114" s="248" t="s">
        <v>4</v>
      </c>
      <c r="F114" s="749"/>
      <c r="G114" s="750"/>
      <c r="H114" s="750"/>
      <c r="I114" s="750"/>
      <c r="J114" s="751"/>
    </row>
    <row r="115" spans="1:10">
      <c r="A115" s="744"/>
      <c r="B115" s="418" t="s">
        <v>213</v>
      </c>
      <c r="C115" s="248">
        <v>0</v>
      </c>
      <c r="D115" s="419">
        <f>J86</f>
        <v>2548.2799999999993</v>
      </c>
      <c r="E115" s="248" t="s">
        <v>6</v>
      </c>
      <c r="F115" s="749"/>
      <c r="G115" s="750"/>
      <c r="H115" s="750"/>
      <c r="I115" s="750"/>
      <c r="J115" s="751"/>
    </row>
    <row r="116" spans="1:10">
      <c r="A116" s="745"/>
      <c r="B116" s="316" t="s">
        <v>240</v>
      </c>
      <c r="C116" s="248">
        <v>0</v>
      </c>
      <c r="D116" s="420">
        <f>J86*0.1</f>
        <v>254.82799999999995</v>
      </c>
      <c r="E116" s="248" t="s">
        <v>4</v>
      </c>
      <c r="F116" s="752"/>
      <c r="G116" s="753"/>
      <c r="H116" s="753"/>
      <c r="I116" s="753"/>
      <c r="J116" s="754"/>
    </row>
  </sheetData>
  <mergeCells count="9">
    <mergeCell ref="A8:A86"/>
    <mergeCell ref="A87:A116"/>
    <mergeCell ref="F87:J116"/>
    <mergeCell ref="B4:J4"/>
    <mergeCell ref="B8:B9"/>
    <mergeCell ref="C8:C9"/>
    <mergeCell ref="D8:D9"/>
    <mergeCell ref="J8:J9"/>
    <mergeCell ref="A6:J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G72:J79 G10:G71 I10:J71" formula="1"/>
    <ignoredError sqref="H10:H7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Z62"/>
  <sheetViews>
    <sheetView zoomScale="80" zoomScaleNormal="80" workbookViewId="0">
      <pane ySplit="5" topLeftCell="A36" activePane="bottomLeft" state="frozen"/>
      <selection pane="bottomLeft" activeCell="G63" sqref="G63"/>
    </sheetView>
  </sheetViews>
  <sheetFormatPr defaultColWidth="9.140625" defaultRowHeight="15"/>
  <cols>
    <col min="1" max="1" width="4.42578125" style="126" customWidth="1"/>
    <col min="2" max="2" width="48.42578125" style="126" customWidth="1"/>
    <col min="3" max="3" width="5.7109375" style="126" customWidth="1"/>
    <col min="4" max="4" width="5.7109375" style="170" customWidth="1"/>
    <col min="5" max="5" width="7.7109375" style="171" customWidth="1"/>
    <col min="6" max="7" width="5.7109375" style="170" customWidth="1"/>
    <col min="8" max="8" width="7.7109375" style="172" customWidth="1"/>
    <col min="9" max="9" width="13.7109375" style="126" customWidth="1"/>
    <col min="10" max="10" width="8.85546875" style="126" customWidth="1"/>
    <col min="11" max="12" width="8" style="126" customWidth="1"/>
    <col min="13" max="13" width="9.28515625" style="126" customWidth="1"/>
    <col min="14" max="14" width="12.42578125" style="126" customWidth="1"/>
    <col min="15" max="15" width="13.7109375" style="126" customWidth="1"/>
    <col min="16" max="16" width="12.7109375" style="126" bestFit="1" customWidth="1"/>
    <col min="17" max="18" width="14.28515625" style="126" customWidth="1"/>
    <col min="19" max="19" width="12.7109375" style="126" customWidth="1"/>
    <col min="20" max="20" width="12.28515625" style="126" bestFit="1" customWidth="1"/>
    <col min="21" max="21" width="14.7109375" style="126" customWidth="1"/>
    <col min="22" max="22" width="12.42578125" style="126" customWidth="1"/>
    <col min="23" max="23" width="13" style="126" bestFit="1" customWidth="1"/>
    <col min="24" max="24" width="13.42578125" style="126" customWidth="1"/>
    <col min="25" max="25" width="9.140625" style="126"/>
    <col min="26" max="26" width="9.42578125" style="126" customWidth="1"/>
    <col min="27" max="16384" width="9.140625" style="126"/>
  </cols>
  <sheetData>
    <row r="1" spans="2:26" s="125" customFormat="1" ht="24.95" customHeight="1">
      <c r="B1" s="766" t="s">
        <v>323</v>
      </c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767"/>
      <c r="U1" s="767"/>
      <c r="V1" s="767"/>
      <c r="W1" s="767"/>
      <c r="X1" s="768"/>
    </row>
    <row r="2" spans="2:26" ht="24.95" customHeight="1">
      <c r="B2" s="769" t="s">
        <v>60</v>
      </c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1"/>
    </row>
    <row r="3" spans="2:26" ht="19.5" customHeight="1">
      <c r="B3" s="772" t="s">
        <v>61</v>
      </c>
      <c r="C3" s="774" t="s">
        <v>62</v>
      </c>
      <c r="D3" s="775"/>
      <c r="E3" s="775"/>
      <c r="F3" s="775"/>
      <c r="G3" s="775"/>
      <c r="H3" s="776"/>
      <c r="I3" s="777" t="s">
        <v>63</v>
      </c>
      <c r="J3" s="785" t="s">
        <v>64</v>
      </c>
      <c r="K3" s="786"/>
      <c r="L3" s="786"/>
      <c r="M3" s="787"/>
      <c r="N3" s="777" t="s">
        <v>78</v>
      </c>
      <c r="O3" s="785" t="s">
        <v>3</v>
      </c>
      <c r="P3" s="794"/>
      <c r="Q3" s="777" t="s">
        <v>65</v>
      </c>
      <c r="R3" s="777" t="s">
        <v>275</v>
      </c>
      <c r="S3" s="777" t="s">
        <v>305</v>
      </c>
      <c r="T3" s="777" t="s">
        <v>320</v>
      </c>
      <c r="U3" s="777" t="s">
        <v>304</v>
      </c>
      <c r="V3" s="777" t="s">
        <v>310</v>
      </c>
      <c r="W3" s="777" t="s">
        <v>303</v>
      </c>
      <c r="X3" s="792" t="s">
        <v>66</v>
      </c>
    </row>
    <row r="4" spans="2:26" ht="31.5" customHeight="1">
      <c r="B4" s="773"/>
      <c r="C4" s="779" t="s">
        <v>67</v>
      </c>
      <c r="D4" s="780"/>
      <c r="E4" s="781"/>
      <c r="F4" s="779" t="s">
        <v>68</v>
      </c>
      <c r="G4" s="780"/>
      <c r="H4" s="781"/>
      <c r="I4" s="778"/>
      <c r="J4" s="795" t="s">
        <v>69</v>
      </c>
      <c r="K4" s="785" t="s">
        <v>70</v>
      </c>
      <c r="L4" s="787"/>
      <c r="M4" s="795" t="s">
        <v>69</v>
      </c>
      <c r="N4" s="791"/>
      <c r="O4" s="791" t="s">
        <v>308</v>
      </c>
      <c r="P4" s="791" t="s">
        <v>71</v>
      </c>
      <c r="Q4" s="791"/>
      <c r="R4" s="778"/>
      <c r="S4" s="778"/>
      <c r="T4" s="778"/>
      <c r="U4" s="778"/>
      <c r="V4" s="778"/>
      <c r="W4" s="778"/>
      <c r="X4" s="793"/>
    </row>
    <row r="5" spans="2:26" ht="15.75" thickBot="1">
      <c r="B5" s="773"/>
      <c r="C5" s="782"/>
      <c r="D5" s="783"/>
      <c r="E5" s="784"/>
      <c r="F5" s="782"/>
      <c r="G5" s="783"/>
      <c r="H5" s="784"/>
      <c r="I5" s="778"/>
      <c r="J5" s="778"/>
      <c r="K5" s="127" t="s">
        <v>72</v>
      </c>
      <c r="L5" s="127" t="s">
        <v>73</v>
      </c>
      <c r="M5" s="778"/>
      <c r="N5" s="791"/>
      <c r="O5" s="778"/>
      <c r="P5" s="778"/>
      <c r="Q5" s="791"/>
      <c r="R5" s="778"/>
      <c r="S5" s="778"/>
      <c r="T5" s="778"/>
      <c r="U5" s="778"/>
      <c r="V5" s="778"/>
      <c r="W5" s="778"/>
      <c r="X5" s="793"/>
    </row>
    <row r="6" spans="2:26" ht="24.95" customHeight="1" thickBot="1">
      <c r="B6" s="788" t="str">
        <f>B1</f>
        <v>BAIRRO : MARIA ISABEL</v>
      </c>
      <c r="C6" s="789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89"/>
      <c r="U6" s="789"/>
      <c r="V6" s="789"/>
      <c r="W6" s="789"/>
      <c r="X6" s="790"/>
    </row>
    <row r="7" spans="2:26" ht="24.95" customHeight="1">
      <c r="B7" s="176" t="s">
        <v>325</v>
      </c>
      <c r="C7" s="128">
        <v>0</v>
      </c>
      <c r="D7" s="129" t="s">
        <v>74</v>
      </c>
      <c r="E7" s="130">
        <v>0</v>
      </c>
      <c r="F7" s="131">
        <v>32</v>
      </c>
      <c r="G7" s="132" t="s">
        <v>74</v>
      </c>
      <c r="H7" s="133">
        <v>0.877</v>
      </c>
      <c r="I7" s="134">
        <f>(F7*20+H7)-(C7*20+E7)</f>
        <v>640.87699999999995</v>
      </c>
      <c r="J7" s="135">
        <v>0.5</v>
      </c>
      <c r="K7" s="135">
        <v>3.5</v>
      </c>
      <c r="L7" s="135">
        <v>3.5</v>
      </c>
      <c r="M7" s="135">
        <v>0.5</v>
      </c>
      <c r="N7" s="135">
        <f>I7*3</f>
        <v>1922.6309999999999</v>
      </c>
      <c r="O7" s="136">
        <v>2280.203</v>
      </c>
      <c r="P7" s="136">
        <v>133.54</v>
      </c>
      <c r="Q7" s="137">
        <f>INT((J7+K7+L7+M7)*I7*100+0.5)/100</f>
        <v>5127.0200000000004</v>
      </c>
      <c r="R7" s="138">
        <v>0</v>
      </c>
      <c r="S7" s="137">
        <f>INT((J7+K7+L7+M7)*I7*0.15*100+0.5)/100</f>
        <v>769.05</v>
      </c>
      <c r="T7" s="137">
        <f>INT((J7+K7+L7+M7)*I7*0.2*100+0.5)/100</f>
        <v>1025.4000000000001</v>
      </c>
      <c r="U7" s="137">
        <f>INT((K7-0.3+L7-0.3)*I7*100+0.5)/100</f>
        <v>4101.6099999999997</v>
      </c>
      <c r="V7" s="137">
        <f>INT(((K7-0.3+L7-0.3))*I7*100+0.5)/100</f>
        <v>4101.6099999999997</v>
      </c>
      <c r="W7" s="137">
        <f>U7*0.03</f>
        <v>123.04829999999998</v>
      </c>
      <c r="X7" s="139">
        <f>(I7*2)-(2*3.5*4)</f>
        <v>1253.7539999999999</v>
      </c>
      <c r="Z7" s="140"/>
    </row>
    <row r="8" spans="2:26" ht="24.95" customHeight="1">
      <c r="B8" s="177" t="s">
        <v>276</v>
      </c>
      <c r="C8" s="128"/>
      <c r="D8" s="141" t="s">
        <v>74</v>
      </c>
      <c r="E8" s="130"/>
      <c r="F8" s="131"/>
      <c r="G8" s="141" t="s">
        <v>74</v>
      </c>
      <c r="H8" s="133"/>
      <c r="I8" s="142">
        <v>0</v>
      </c>
      <c r="J8" s="143">
        <v>0.5</v>
      </c>
      <c r="K8" s="143">
        <v>3.5</v>
      </c>
      <c r="L8" s="143">
        <v>3.5</v>
      </c>
      <c r="M8" s="143">
        <v>0.5</v>
      </c>
      <c r="N8" s="143">
        <f>I8*3</f>
        <v>0</v>
      </c>
      <c r="O8" s="144"/>
      <c r="P8" s="144"/>
      <c r="Q8" s="138">
        <f>INT((J8+K8+L8+M8)*I8*100+0.5)/100</f>
        <v>0</v>
      </c>
      <c r="R8" s="138">
        <v>0</v>
      </c>
      <c r="S8" s="137">
        <f>INT((J8+K8+L8+M8)*I8*0.15*100+0.5)/100</f>
        <v>0</v>
      </c>
      <c r="T8" s="137">
        <f>INT((J8+K8+L8+M8)*I8*0.2*100+0.5)/100</f>
        <v>0</v>
      </c>
      <c r="U8" s="138">
        <f>INT((K8-0.3+L8-0.3)*I8*100+0.5)/100</f>
        <v>0</v>
      </c>
      <c r="V8" s="138">
        <f>INT(((K8-0.3+L8-0.3))*I8*100+0.5)/100</f>
        <v>0</v>
      </c>
      <c r="W8" s="138">
        <f>U8*0.03</f>
        <v>0</v>
      </c>
      <c r="X8" s="139">
        <f>I8</f>
        <v>0</v>
      </c>
      <c r="Z8" s="140"/>
    </row>
    <row r="9" spans="2:26" ht="24.95" customHeight="1">
      <c r="B9" s="177" t="s">
        <v>307</v>
      </c>
      <c r="C9" s="145"/>
      <c r="D9" s="146"/>
      <c r="E9" s="147"/>
      <c r="F9" s="148"/>
      <c r="G9" s="149"/>
      <c r="H9" s="150"/>
      <c r="I9" s="142"/>
      <c r="J9" s="143"/>
      <c r="K9" s="143"/>
      <c r="L9" s="143"/>
      <c r="M9" s="143"/>
      <c r="N9" s="143"/>
      <c r="O9" s="151"/>
      <c r="P9" s="151"/>
      <c r="Q9" s="138"/>
      <c r="R9" s="138"/>
      <c r="S9" s="138"/>
      <c r="T9" s="138"/>
      <c r="U9" s="138"/>
      <c r="V9" s="138"/>
      <c r="W9" s="138"/>
      <c r="X9" s="139"/>
      <c r="Z9" s="140"/>
    </row>
    <row r="10" spans="2:26" ht="24.95" customHeight="1">
      <c r="B10" s="176" t="s">
        <v>326</v>
      </c>
      <c r="C10" s="152">
        <v>0</v>
      </c>
      <c r="D10" s="153" t="s">
        <v>74</v>
      </c>
      <c r="E10" s="154">
        <v>0</v>
      </c>
      <c r="F10" s="131">
        <v>7</v>
      </c>
      <c r="G10" s="141" t="s">
        <v>74</v>
      </c>
      <c r="H10" s="133">
        <v>7.6159999999999997</v>
      </c>
      <c r="I10" s="134">
        <f>(F10*20+H10)-(C10*20+E10)</f>
        <v>147.61599999999999</v>
      </c>
      <c r="J10" s="135">
        <v>0.5</v>
      </c>
      <c r="K10" s="135">
        <v>3.5</v>
      </c>
      <c r="L10" s="135">
        <v>3.5</v>
      </c>
      <c r="M10" s="135">
        <v>0.5</v>
      </c>
      <c r="N10" s="135">
        <f>I10*3</f>
        <v>442.84799999999996</v>
      </c>
      <c r="O10" s="136">
        <v>517.13099999999997</v>
      </c>
      <c r="P10" s="136">
        <v>17.574999999999999</v>
      </c>
      <c r="Q10" s="137">
        <f>INT((J10+K10+L10+M10)*I10*100+0.5)/100</f>
        <v>1180.93</v>
      </c>
      <c r="R10" s="138">
        <v>0</v>
      </c>
      <c r="S10" s="137">
        <f>INT((J10+K10+L10+M10)*I10*0.15*100+0.5)/100</f>
        <v>177.14</v>
      </c>
      <c r="T10" s="137">
        <f>INT((J10+K10+L10+M10)*I10*0.2*100+0.5)/100</f>
        <v>236.19</v>
      </c>
      <c r="U10" s="137">
        <f>INT((K10-0.3+L10-0.3)*I10*100+0.5)/100</f>
        <v>944.74</v>
      </c>
      <c r="V10" s="137">
        <f>INT(((K10-0.3+L10-0.3))*I10*100+0.5)/100</f>
        <v>944.74</v>
      </c>
      <c r="W10" s="137">
        <f>U10*0.03</f>
        <v>28.342199999999998</v>
      </c>
      <c r="X10" s="139">
        <f>(I10*2)-(2*3.5*2)</f>
        <v>281.23199999999997</v>
      </c>
      <c r="Z10" s="140"/>
    </row>
    <row r="11" spans="2:26" ht="24.95" customHeight="1">
      <c r="B11" s="177" t="s">
        <v>276</v>
      </c>
      <c r="C11" s="128"/>
      <c r="D11" s="141" t="s">
        <v>74</v>
      </c>
      <c r="E11" s="130"/>
      <c r="F11" s="131"/>
      <c r="G11" s="141" t="s">
        <v>74</v>
      </c>
      <c r="H11" s="133"/>
      <c r="I11" s="142">
        <v>0</v>
      </c>
      <c r="J11" s="143">
        <v>0.5</v>
      </c>
      <c r="K11" s="143">
        <v>3.5</v>
      </c>
      <c r="L11" s="143">
        <v>3.5</v>
      </c>
      <c r="M11" s="143">
        <v>0.5</v>
      </c>
      <c r="N11" s="143">
        <f>I11*3</f>
        <v>0</v>
      </c>
      <c r="O11" s="144"/>
      <c r="P11" s="144"/>
      <c r="Q11" s="138">
        <f>INT((J11+K11+L11+M11)*I11*100+0.5)/100</f>
        <v>0</v>
      </c>
      <c r="R11" s="138">
        <v>0</v>
      </c>
      <c r="S11" s="137">
        <f>INT((J11+K11+L11+M11)*I11*0.15*100+0.5)/100</f>
        <v>0</v>
      </c>
      <c r="T11" s="137">
        <f>INT((J11+K11+L11+M11)*I11*0.2*100+0.5)/100</f>
        <v>0</v>
      </c>
      <c r="U11" s="138">
        <f>INT((K11-0.3+L11-0.3)*I11*100+0.5)/100</f>
        <v>0</v>
      </c>
      <c r="V11" s="138">
        <f>INT(((K11-0.3+L11-0.3))*I11*100+0.5)/100</f>
        <v>0</v>
      </c>
      <c r="W11" s="138">
        <f>U11*0.03</f>
        <v>0</v>
      </c>
      <c r="X11" s="139">
        <f>I11</f>
        <v>0</v>
      </c>
      <c r="Z11" s="140"/>
    </row>
    <row r="12" spans="2:26" ht="24.95" customHeight="1">
      <c r="B12" s="177"/>
      <c r="C12" s="155"/>
      <c r="D12" s="156"/>
      <c r="E12" s="157"/>
      <c r="F12" s="131"/>
      <c r="G12" s="141"/>
      <c r="H12" s="133"/>
      <c r="I12" s="142"/>
      <c r="J12" s="143"/>
      <c r="K12" s="143"/>
      <c r="L12" s="143"/>
      <c r="M12" s="143"/>
      <c r="N12" s="143"/>
      <c r="O12" s="144"/>
      <c r="P12" s="144"/>
      <c r="Q12" s="138"/>
      <c r="R12" s="138"/>
      <c r="S12" s="137"/>
      <c r="T12" s="137"/>
      <c r="U12" s="138"/>
      <c r="V12" s="138"/>
      <c r="W12" s="138"/>
      <c r="X12" s="139"/>
      <c r="Z12" s="140"/>
    </row>
    <row r="13" spans="2:26" ht="24.95" customHeight="1">
      <c r="B13" s="176" t="s">
        <v>327</v>
      </c>
      <c r="C13" s="152">
        <v>0</v>
      </c>
      <c r="D13" s="153" t="s">
        <v>74</v>
      </c>
      <c r="E13" s="154">
        <v>0</v>
      </c>
      <c r="F13" s="131">
        <v>7</v>
      </c>
      <c r="G13" s="141" t="s">
        <v>74</v>
      </c>
      <c r="H13" s="133">
        <v>3.6819999999999999</v>
      </c>
      <c r="I13" s="134">
        <f>(F13*20+H13)-(C13*20+E13)</f>
        <v>143.68199999999999</v>
      </c>
      <c r="J13" s="135">
        <v>0.5</v>
      </c>
      <c r="K13" s="135">
        <v>3.5</v>
      </c>
      <c r="L13" s="135">
        <v>3.5</v>
      </c>
      <c r="M13" s="135">
        <v>0.5</v>
      </c>
      <c r="N13" s="135">
        <f>I13*3</f>
        <v>431.04599999999994</v>
      </c>
      <c r="O13" s="136">
        <v>481.59100000000001</v>
      </c>
      <c r="P13" s="136">
        <v>17.597000000000001</v>
      </c>
      <c r="Q13" s="137">
        <f>INT((J13+K13+L13+M13)*I13*100+0.5)/100</f>
        <v>1149.46</v>
      </c>
      <c r="R13" s="138">
        <v>0</v>
      </c>
      <c r="S13" s="137">
        <f>INT((J13+K13+L13+M13)*I13*0.15*100+0.5)/100</f>
        <v>172.42</v>
      </c>
      <c r="T13" s="137">
        <f>INT((J13+K13+L13+M13)*I13*0.2*100+0.5)/100</f>
        <v>229.89</v>
      </c>
      <c r="U13" s="137">
        <f>INT((K13-0.3+L13-0.3)*I13*100+0.5)/100</f>
        <v>919.56</v>
      </c>
      <c r="V13" s="137">
        <f>INT(((K13-0.3+L13-0.3))*I13*100+0.5)/100</f>
        <v>919.56</v>
      </c>
      <c r="W13" s="137">
        <f>U13*0.03</f>
        <v>27.586799999999997</v>
      </c>
      <c r="X13" s="139">
        <f>(I13*2)-(2*3.5*0)</f>
        <v>287.36399999999998</v>
      </c>
      <c r="Z13" s="140"/>
    </row>
    <row r="14" spans="2:26" ht="24.95" customHeight="1">
      <c r="B14" s="177" t="s">
        <v>276</v>
      </c>
      <c r="C14" s="128"/>
      <c r="D14" s="141" t="s">
        <v>74</v>
      </c>
      <c r="E14" s="130"/>
      <c r="F14" s="131"/>
      <c r="G14" s="141" t="s">
        <v>74</v>
      </c>
      <c r="H14" s="133"/>
      <c r="I14" s="142">
        <v>0</v>
      </c>
      <c r="J14" s="143">
        <v>0.5</v>
      </c>
      <c r="K14" s="143">
        <v>3.5</v>
      </c>
      <c r="L14" s="143">
        <v>3.5</v>
      </c>
      <c r="M14" s="143">
        <v>0.5</v>
      </c>
      <c r="N14" s="143">
        <f>I14*3</f>
        <v>0</v>
      </c>
      <c r="O14" s="144"/>
      <c r="P14" s="144"/>
      <c r="Q14" s="138">
        <f>INT((J14+K14+L14+M14)*I14*100+0.5)/100</f>
        <v>0</v>
      </c>
      <c r="R14" s="138">
        <v>0</v>
      </c>
      <c r="S14" s="137">
        <f>INT((J14+K14+L14+M14)*I14*0.15*100+0.5)/100</f>
        <v>0</v>
      </c>
      <c r="T14" s="137">
        <f>INT((J14+K14+L14+M14)*I14*0.2*100+0.5)/100</f>
        <v>0</v>
      </c>
      <c r="U14" s="138">
        <f>INT((K14-0.3+L14-0.3)*I14*100+0.5)/100</f>
        <v>0</v>
      </c>
      <c r="V14" s="138">
        <f>INT(((K14-0.3+L14-0.3))*I14*100+0.5)/100</f>
        <v>0</v>
      </c>
      <c r="W14" s="138">
        <f>U14*0.03</f>
        <v>0</v>
      </c>
      <c r="X14" s="139">
        <f>I14</f>
        <v>0</v>
      </c>
      <c r="Z14" s="140"/>
    </row>
    <row r="15" spans="2:26" ht="24.95" customHeight="1">
      <c r="B15" s="177"/>
      <c r="C15" s="155"/>
      <c r="D15" s="156"/>
      <c r="E15" s="157"/>
      <c r="F15" s="131"/>
      <c r="G15" s="141"/>
      <c r="H15" s="133"/>
      <c r="I15" s="142"/>
      <c r="J15" s="143"/>
      <c r="K15" s="143"/>
      <c r="L15" s="143"/>
      <c r="M15" s="143"/>
      <c r="N15" s="143"/>
      <c r="O15" s="144"/>
      <c r="P15" s="144"/>
      <c r="Q15" s="138"/>
      <c r="R15" s="138"/>
      <c r="S15" s="137"/>
      <c r="T15" s="137"/>
      <c r="U15" s="138"/>
      <c r="V15" s="138"/>
      <c r="W15" s="138"/>
      <c r="X15" s="139"/>
      <c r="Z15" s="140"/>
    </row>
    <row r="16" spans="2:26" ht="24.95" customHeight="1">
      <c r="B16" s="176" t="s">
        <v>328</v>
      </c>
      <c r="C16" s="152">
        <v>0</v>
      </c>
      <c r="D16" s="153" t="s">
        <v>74</v>
      </c>
      <c r="E16" s="154">
        <v>0</v>
      </c>
      <c r="F16" s="131">
        <v>23</v>
      </c>
      <c r="G16" s="141" t="s">
        <v>74</v>
      </c>
      <c r="H16" s="133">
        <v>7.5910000000000002</v>
      </c>
      <c r="I16" s="134">
        <f>(F16*20+H16)-(C16*20+E16)</f>
        <v>467.59100000000001</v>
      </c>
      <c r="J16" s="135">
        <v>0.5</v>
      </c>
      <c r="K16" s="135">
        <v>3.5</v>
      </c>
      <c r="L16" s="135">
        <v>3.5</v>
      </c>
      <c r="M16" s="135">
        <v>0.5</v>
      </c>
      <c r="N16" s="135">
        <f>I16*3</f>
        <v>1402.7730000000001</v>
      </c>
      <c r="O16" s="136">
        <v>1558.6790000000001</v>
      </c>
      <c r="P16" s="136">
        <v>192.804</v>
      </c>
      <c r="Q16" s="137">
        <f>INT((J16+K16+L16+M16)*I16*100+0.5)/100</f>
        <v>3740.73</v>
      </c>
      <c r="R16" s="138">
        <v>0</v>
      </c>
      <c r="S16" s="137">
        <f>INT((J16+K16+L16+M16)*I16*0.15*100+0.5)/100</f>
        <v>561.11</v>
      </c>
      <c r="T16" s="137">
        <f>INT((J16+K16+L16+M16)*I16*0.2*100+0.5)/100</f>
        <v>748.15</v>
      </c>
      <c r="U16" s="137">
        <f>INT((K16-0.3+L16-0.3)*I16*100+0.5)/100</f>
        <v>2992.58</v>
      </c>
      <c r="V16" s="137">
        <f>INT(((K16-0.3+L16-0.3))*I16*100+0.5)/100</f>
        <v>2992.58</v>
      </c>
      <c r="W16" s="137">
        <f>U16*0.03</f>
        <v>89.7774</v>
      </c>
      <c r="X16" s="139">
        <f>(I16*2)-(2*3.5*3)</f>
        <v>914.18200000000002</v>
      </c>
      <c r="Z16" s="140"/>
    </row>
    <row r="17" spans="2:26" ht="24.95" customHeight="1">
      <c r="B17" s="177" t="s">
        <v>276</v>
      </c>
      <c r="C17" s="128"/>
      <c r="D17" s="141" t="s">
        <v>74</v>
      </c>
      <c r="E17" s="130"/>
      <c r="F17" s="131">
        <v>6</v>
      </c>
      <c r="G17" s="141" t="s">
        <v>74</v>
      </c>
      <c r="H17" s="133">
        <v>5</v>
      </c>
      <c r="I17" s="142">
        <v>20</v>
      </c>
      <c r="J17" s="143">
        <v>0.5</v>
      </c>
      <c r="K17" s="143">
        <v>3.5</v>
      </c>
      <c r="L17" s="143">
        <v>3.5</v>
      </c>
      <c r="M17" s="143">
        <v>0.5</v>
      </c>
      <c r="N17" s="143">
        <f>I17*3</f>
        <v>60</v>
      </c>
      <c r="O17" s="158">
        <f>I17*(J17+K17+L17+M17)*0.38</f>
        <v>60.8</v>
      </c>
      <c r="P17" s="144"/>
      <c r="Q17" s="138">
        <f>INT((J17+K17+L17+M17)*I17*100+0.5)/100</f>
        <v>160</v>
      </c>
      <c r="R17" s="138">
        <v>0</v>
      </c>
      <c r="S17" s="137">
        <f>INT((J17+K17+L17+M17)*I17*0.15*100+0.5)/100</f>
        <v>24</v>
      </c>
      <c r="T17" s="137">
        <f>INT((J17+K17+L17+M17)*I17*0.2*100+0.5)/100</f>
        <v>32</v>
      </c>
      <c r="U17" s="138">
        <f>INT((K17-0.3+L17-0.3)*I17*100+0.5)/100</f>
        <v>128</v>
      </c>
      <c r="V17" s="138">
        <f>INT(((K17-0.3+L17-0.3))*I17*100+0.5)/100</f>
        <v>128</v>
      </c>
      <c r="W17" s="138">
        <f>U17*0.03</f>
        <v>3.84</v>
      </c>
      <c r="X17" s="139">
        <f>I17</f>
        <v>20</v>
      </c>
      <c r="Z17" s="140"/>
    </row>
    <row r="18" spans="2:26" ht="24.95" customHeight="1">
      <c r="B18" s="177"/>
      <c r="C18" s="155"/>
      <c r="D18" s="156"/>
      <c r="E18" s="157"/>
      <c r="F18" s="131"/>
      <c r="G18" s="141"/>
      <c r="H18" s="133"/>
      <c r="I18" s="142"/>
      <c r="J18" s="143"/>
      <c r="K18" s="143"/>
      <c r="L18" s="143"/>
      <c r="M18" s="143"/>
      <c r="N18" s="143"/>
      <c r="O18" s="144"/>
      <c r="P18" s="144"/>
      <c r="Q18" s="138"/>
      <c r="R18" s="138"/>
      <c r="S18" s="137"/>
      <c r="T18" s="137"/>
      <c r="U18" s="138"/>
      <c r="V18" s="138"/>
      <c r="W18" s="138"/>
      <c r="X18" s="139"/>
      <c r="Z18" s="140"/>
    </row>
    <row r="19" spans="2:26" ht="24.95" customHeight="1">
      <c r="B19" s="176" t="s">
        <v>329</v>
      </c>
      <c r="C19" s="152">
        <v>0</v>
      </c>
      <c r="D19" s="153" t="s">
        <v>74</v>
      </c>
      <c r="E19" s="154">
        <v>0</v>
      </c>
      <c r="F19" s="131">
        <v>13</v>
      </c>
      <c r="G19" s="141" t="s">
        <v>74</v>
      </c>
      <c r="H19" s="133">
        <v>2.2559999999999998</v>
      </c>
      <c r="I19" s="134">
        <f>(F19*20+H19)-(C19*20+E19)</f>
        <v>262.25599999999997</v>
      </c>
      <c r="J19" s="135">
        <v>0.5</v>
      </c>
      <c r="K19" s="135">
        <v>3.5</v>
      </c>
      <c r="L19" s="135">
        <v>3.5</v>
      </c>
      <c r="M19" s="135">
        <v>0.5</v>
      </c>
      <c r="N19" s="135">
        <f>I19*3</f>
        <v>786.76799999999992</v>
      </c>
      <c r="O19" s="136">
        <v>820.39200000000005</v>
      </c>
      <c r="P19" s="136">
        <v>24.51</v>
      </c>
      <c r="Q19" s="137">
        <f>INT((J19+K19+L19+M19)*I19*100+0.5)/100</f>
        <v>2098.0500000000002</v>
      </c>
      <c r="R19" s="138">
        <v>0</v>
      </c>
      <c r="S19" s="137">
        <f>INT((J19+K19+L19+M19)*I19*0.15*100+0.5)/100</f>
        <v>314.70999999999998</v>
      </c>
      <c r="T19" s="137">
        <f>INT((J19+K19+L19+M19)*I19*0.2*100+0.5)/100</f>
        <v>419.61</v>
      </c>
      <c r="U19" s="137">
        <f>INT((K19-0.3+L19-0.3)*I19*100+0.5)/100</f>
        <v>1678.44</v>
      </c>
      <c r="V19" s="137">
        <f>INT(((K19-0.3+L19-0.3))*I19*100+0.5)/100</f>
        <v>1678.44</v>
      </c>
      <c r="W19" s="137">
        <f>U19*0.03</f>
        <v>50.353200000000001</v>
      </c>
      <c r="X19" s="139">
        <f>(I19*2)-(2*3.5*4)</f>
        <v>496.51199999999994</v>
      </c>
      <c r="Z19" s="140"/>
    </row>
    <row r="20" spans="2:26" ht="24.95" customHeight="1">
      <c r="B20" s="177" t="s">
        <v>276</v>
      </c>
      <c r="C20" s="128"/>
      <c r="D20" s="141" t="s">
        <v>74</v>
      </c>
      <c r="E20" s="130"/>
      <c r="F20" s="131"/>
      <c r="G20" s="141" t="s">
        <v>74</v>
      </c>
      <c r="H20" s="133"/>
      <c r="I20" s="142">
        <v>0</v>
      </c>
      <c r="J20" s="143">
        <v>0.5</v>
      </c>
      <c r="K20" s="143">
        <v>3.5</v>
      </c>
      <c r="L20" s="143">
        <v>3.5</v>
      </c>
      <c r="M20" s="143">
        <v>0.5</v>
      </c>
      <c r="N20" s="143">
        <f>I20*3</f>
        <v>0</v>
      </c>
      <c r="O20" s="144"/>
      <c r="P20" s="144"/>
      <c r="Q20" s="138">
        <f>INT((J20+K20+L20+M20)*I20*100+0.5)/100</f>
        <v>0</v>
      </c>
      <c r="R20" s="138">
        <v>0</v>
      </c>
      <c r="S20" s="137">
        <f>INT((J20+K20+L20+M20)*I20*0.15*100+0.5)/100</f>
        <v>0</v>
      </c>
      <c r="T20" s="137">
        <f>INT((J20+K20+L20+M20)*I20*0.2*100+0.5)/100</f>
        <v>0</v>
      </c>
      <c r="U20" s="138">
        <f>INT((K20-0.3+L20-0.3)*I20*100+0.5)/100</f>
        <v>0</v>
      </c>
      <c r="V20" s="138">
        <f>INT(((K20-0.3+L20-0.3))*I20*100+0.5)/100</f>
        <v>0</v>
      </c>
      <c r="W20" s="138">
        <f>U20*0.03</f>
        <v>0</v>
      </c>
      <c r="X20" s="139">
        <f>I20</f>
        <v>0</v>
      </c>
      <c r="Z20" s="140"/>
    </row>
    <row r="21" spans="2:26" ht="24.95" customHeight="1">
      <c r="B21" s="177"/>
      <c r="C21" s="155"/>
      <c r="D21" s="156"/>
      <c r="E21" s="157"/>
      <c r="F21" s="131"/>
      <c r="G21" s="141"/>
      <c r="H21" s="133"/>
      <c r="I21" s="142"/>
      <c r="J21" s="143"/>
      <c r="K21" s="143"/>
      <c r="L21" s="143"/>
      <c r="M21" s="143"/>
      <c r="N21" s="143"/>
      <c r="O21" s="144"/>
      <c r="P21" s="144"/>
      <c r="Q21" s="138"/>
      <c r="R21" s="138"/>
      <c r="S21" s="137"/>
      <c r="T21" s="137"/>
      <c r="U21" s="138"/>
      <c r="V21" s="138"/>
      <c r="W21" s="138"/>
      <c r="X21" s="139"/>
      <c r="Z21" s="140"/>
    </row>
    <row r="22" spans="2:26" ht="24.95" customHeight="1">
      <c r="B22" s="176" t="s">
        <v>330</v>
      </c>
      <c r="C22" s="152">
        <v>0</v>
      </c>
      <c r="D22" s="153" t="s">
        <v>74</v>
      </c>
      <c r="E22" s="154">
        <v>0</v>
      </c>
      <c r="F22" s="131">
        <v>13</v>
      </c>
      <c r="G22" s="141" t="s">
        <v>74</v>
      </c>
      <c r="H22" s="133">
        <v>0.49099999999999999</v>
      </c>
      <c r="I22" s="134">
        <f>(F22*20+H22)-(C22*20+E22)</f>
        <v>260.49099999999999</v>
      </c>
      <c r="J22" s="135">
        <v>0.5</v>
      </c>
      <c r="K22" s="135">
        <v>3.5</v>
      </c>
      <c r="L22" s="135">
        <v>3.5</v>
      </c>
      <c r="M22" s="135">
        <v>0.5</v>
      </c>
      <c r="N22" s="135">
        <f>I22*3</f>
        <v>781.47299999999996</v>
      </c>
      <c r="O22" s="136">
        <v>1037.425</v>
      </c>
      <c r="P22" s="136">
        <v>48.481000000000002</v>
      </c>
      <c r="Q22" s="137">
        <f>INT((J22+K22+L22+M22)*I22*100+0.5)/100</f>
        <v>2083.9299999999998</v>
      </c>
      <c r="R22" s="138">
        <v>0</v>
      </c>
      <c r="S22" s="137">
        <f>INT((J22+K22+L22+M22)*I22*0.15*100+0.5)/100</f>
        <v>312.58999999999997</v>
      </c>
      <c r="T22" s="137">
        <f>INT((J22+K22+L22+M22)*I22*0.2*100+0.5)/100</f>
        <v>416.79</v>
      </c>
      <c r="U22" s="137">
        <f>INT((K22-0.3+L22-0.3)*I22*100+0.5)/100</f>
        <v>1667.14</v>
      </c>
      <c r="V22" s="137">
        <f>INT(((K22-0.3+L22-0.3))*I22*100+0.5)/100</f>
        <v>1667.14</v>
      </c>
      <c r="W22" s="137">
        <f>U22*0.03</f>
        <v>50.014200000000002</v>
      </c>
      <c r="X22" s="139">
        <f>(I22*2)-(2*3.5*1)</f>
        <v>513.98199999999997</v>
      </c>
      <c r="Z22" s="140"/>
    </row>
    <row r="23" spans="2:26" ht="24.95" customHeight="1">
      <c r="B23" s="177" t="s">
        <v>276</v>
      </c>
      <c r="C23" s="128"/>
      <c r="D23" s="141" t="s">
        <v>74</v>
      </c>
      <c r="E23" s="130"/>
      <c r="F23" s="131"/>
      <c r="G23" s="141" t="s">
        <v>74</v>
      </c>
      <c r="H23" s="133"/>
      <c r="I23" s="142">
        <v>0</v>
      </c>
      <c r="J23" s="143">
        <v>0.5</v>
      </c>
      <c r="K23" s="143">
        <v>3.5</v>
      </c>
      <c r="L23" s="143">
        <v>3.5</v>
      </c>
      <c r="M23" s="143">
        <v>0.5</v>
      </c>
      <c r="N23" s="143">
        <f>I23*3</f>
        <v>0</v>
      </c>
      <c r="O23" s="144"/>
      <c r="P23" s="144"/>
      <c r="Q23" s="138">
        <f>INT((J23+K23+L23+M23)*I23*100+0.5)/100</f>
        <v>0</v>
      </c>
      <c r="R23" s="138">
        <v>0</v>
      </c>
      <c r="S23" s="137">
        <f>INT((J23+K23+L23+M23)*I23*0.15*100+0.5)/100</f>
        <v>0</v>
      </c>
      <c r="T23" s="137">
        <f>INT((J23+K23+L23+M23)*I23*0.2*100+0.5)/100</f>
        <v>0</v>
      </c>
      <c r="U23" s="138">
        <f>INT((K23-0.3+L23-0.3)*I23*100+0.5)/100</f>
        <v>0</v>
      </c>
      <c r="V23" s="138">
        <f>INT(((K23-0.3+L23-0.3))*I23*100+0.5)/100</f>
        <v>0</v>
      </c>
      <c r="W23" s="138">
        <f>U23*0.03</f>
        <v>0</v>
      </c>
      <c r="X23" s="139">
        <f>I23</f>
        <v>0</v>
      </c>
      <c r="Z23" s="140"/>
    </row>
    <row r="24" spans="2:26" ht="24.95" customHeight="1">
      <c r="B24" s="177"/>
      <c r="C24" s="155"/>
      <c r="D24" s="156"/>
      <c r="E24" s="157"/>
      <c r="F24" s="131"/>
      <c r="G24" s="141"/>
      <c r="H24" s="133"/>
      <c r="I24" s="142"/>
      <c r="J24" s="143"/>
      <c r="K24" s="143"/>
      <c r="L24" s="143"/>
      <c r="M24" s="143"/>
      <c r="N24" s="143"/>
      <c r="O24" s="144"/>
      <c r="P24" s="144"/>
      <c r="Q24" s="138"/>
      <c r="R24" s="138"/>
      <c r="S24" s="137"/>
      <c r="T24" s="137"/>
      <c r="U24" s="138"/>
      <c r="V24" s="138"/>
      <c r="W24" s="138"/>
      <c r="X24" s="139"/>
      <c r="Z24" s="140"/>
    </row>
    <row r="25" spans="2:26" ht="24.95" customHeight="1">
      <c r="B25" s="176" t="s">
        <v>331</v>
      </c>
      <c r="C25" s="152">
        <v>0</v>
      </c>
      <c r="D25" s="153" t="s">
        <v>74</v>
      </c>
      <c r="E25" s="154">
        <v>0</v>
      </c>
      <c r="F25" s="131">
        <v>8</v>
      </c>
      <c r="G25" s="141" t="s">
        <v>74</v>
      </c>
      <c r="H25" s="133">
        <v>9.1720000000000006</v>
      </c>
      <c r="I25" s="134">
        <f>(F25*20+H25)-(C25*20+E25)</f>
        <v>169.172</v>
      </c>
      <c r="J25" s="135">
        <v>0.5</v>
      </c>
      <c r="K25" s="135">
        <v>3.5</v>
      </c>
      <c r="L25" s="135">
        <v>3.5</v>
      </c>
      <c r="M25" s="135">
        <v>0.5</v>
      </c>
      <c r="N25" s="135">
        <f>I25*3</f>
        <v>507.51599999999996</v>
      </c>
      <c r="O25" s="136">
        <v>658.49699999999996</v>
      </c>
      <c r="P25" s="136">
        <v>28.945</v>
      </c>
      <c r="Q25" s="137">
        <f>INT((J25+K25+L25+M25)*I25*100+0.5)/100</f>
        <v>1353.38</v>
      </c>
      <c r="R25" s="138">
        <v>0</v>
      </c>
      <c r="S25" s="137">
        <f>INT((J25+K25+L25+M25)*I25*0.15*100+0.5)/100</f>
        <v>203.01</v>
      </c>
      <c r="T25" s="137">
        <f>INT((J25+K25+L25+M25)*I25*0.2*100+0.5)/100</f>
        <v>270.68</v>
      </c>
      <c r="U25" s="137">
        <f>INT((K25-0.3+L25-0.3)*I25*100+0.5)/100</f>
        <v>1082.7</v>
      </c>
      <c r="V25" s="137">
        <f>INT(((K25-0.3+L25-0.3))*I25*100+0.5)/100</f>
        <v>1082.7</v>
      </c>
      <c r="W25" s="137">
        <f>U25*0.03</f>
        <v>32.481000000000002</v>
      </c>
      <c r="X25" s="139">
        <f>(I25*2)-(2*3.5*0)</f>
        <v>338.34399999999999</v>
      </c>
      <c r="Z25" s="140"/>
    </row>
    <row r="26" spans="2:26" ht="24.95" customHeight="1">
      <c r="B26" s="177" t="s">
        <v>276</v>
      </c>
      <c r="C26" s="128"/>
      <c r="D26" s="141" t="s">
        <v>74</v>
      </c>
      <c r="E26" s="130"/>
      <c r="F26" s="131"/>
      <c r="G26" s="141" t="s">
        <v>74</v>
      </c>
      <c r="H26" s="133"/>
      <c r="I26" s="142">
        <v>0</v>
      </c>
      <c r="J26" s="143">
        <v>0.5</v>
      </c>
      <c r="K26" s="143">
        <v>3.5</v>
      </c>
      <c r="L26" s="143">
        <v>3.5</v>
      </c>
      <c r="M26" s="143">
        <v>0.5</v>
      </c>
      <c r="N26" s="143">
        <f>I26*3</f>
        <v>0</v>
      </c>
      <c r="O26" s="144"/>
      <c r="P26" s="144"/>
      <c r="Q26" s="138">
        <f>INT((J26+K26+L26+M26)*I26*100+0.5)/100</f>
        <v>0</v>
      </c>
      <c r="R26" s="138">
        <v>0</v>
      </c>
      <c r="S26" s="137">
        <f>INT((J26+K26+L26+M26)*I26*0.15*100+0.5)/100</f>
        <v>0</v>
      </c>
      <c r="T26" s="137">
        <f>INT((J26+K26+L26+M26)*I26*0.2*100+0.5)/100</f>
        <v>0</v>
      </c>
      <c r="U26" s="138">
        <f>INT((K26-0.3+L26-0.3)*I26*100+0.5)/100</f>
        <v>0</v>
      </c>
      <c r="V26" s="138">
        <f>INT(((K26-0.3+L26-0.3))*I26*100+0.5)/100</f>
        <v>0</v>
      </c>
      <c r="W26" s="138">
        <f>U26*0.03</f>
        <v>0</v>
      </c>
      <c r="X26" s="139">
        <f>I26</f>
        <v>0</v>
      </c>
      <c r="Z26" s="140"/>
    </row>
    <row r="27" spans="2:26" ht="24.95" customHeight="1">
      <c r="B27" s="177"/>
      <c r="C27" s="155"/>
      <c r="D27" s="156"/>
      <c r="E27" s="157"/>
      <c r="F27" s="131"/>
      <c r="G27" s="141"/>
      <c r="H27" s="133"/>
      <c r="I27" s="142"/>
      <c r="J27" s="143"/>
      <c r="K27" s="143"/>
      <c r="L27" s="143"/>
      <c r="M27" s="143"/>
      <c r="N27" s="143"/>
      <c r="O27" s="144"/>
      <c r="P27" s="144"/>
      <c r="Q27" s="138"/>
      <c r="R27" s="138"/>
      <c r="S27" s="137"/>
      <c r="T27" s="137"/>
      <c r="U27" s="138"/>
      <c r="V27" s="138"/>
      <c r="W27" s="138"/>
      <c r="X27" s="139"/>
      <c r="Z27" s="140"/>
    </row>
    <row r="28" spans="2:26" ht="24.95" customHeight="1">
      <c r="B28" s="176" t="s">
        <v>332</v>
      </c>
      <c r="C28" s="152">
        <v>0</v>
      </c>
      <c r="D28" s="153" t="s">
        <v>74</v>
      </c>
      <c r="E28" s="154">
        <v>0</v>
      </c>
      <c r="F28" s="131">
        <v>21</v>
      </c>
      <c r="G28" s="141" t="s">
        <v>74</v>
      </c>
      <c r="H28" s="133">
        <v>12.409000000000001</v>
      </c>
      <c r="I28" s="134">
        <f>(F28*20+H28)-(C28*20+E28)</f>
        <v>432.40899999999999</v>
      </c>
      <c r="J28" s="135">
        <v>0.5</v>
      </c>
      <c r="K28" s="135">
        <v>3.5</v>
      </c>
      <c r="L28" s="135">
        <v>3.5</v>
      </c>
      <c r="M28" s="135">
        <v>0.5</v>
      </c>
      <c r="N28" s="135">
        <f>I28*3</f>
        <v>1297.2269999999999</v>
      </c>
      <c r="O28" s="136">
        <v>1358.7360000000001</v>
      </c>
      <c r="P28" s="136">
        <v>98.02</v>
      </c>
      <c r="Q28" s="137">
        <f>INT((J28+K28+L28+M28)*I28*100+0.5)/100</f>
        <v>3459.27</v>
      </c>
      <c r="R28" s="138">
        <v>0</v>
      </c>
      <c r="S28" s="137">
        <f>INT((J28+K28+L28+M28)*I28*0.15*100+0.5)/100</f>
        <v>518.89</v>
      </c>
      <c r="T28" s="137">
        <f>INT((J28+K28+L28+M28)*I28*0.2*100+0.5)/100</f>
        <v>691.85</v>
      </c>
      <c r="U28" s="137">
        <f>INT((K28-0.3+L28-0.3)*I28*100+0.5)/100</f>
        <v>2767.42</v>
      </c>
      <c r="V28" s="137">
        <f>INT(((K28-0.3+L28-0.3))*I28*100+0.5)/100</f>
        <v>2767.42</v>
      </c>
      <c r="W28" s="137">
        <f>U28*0.03</f>
        <v>83.022599999999997</v>
      </c>
      <c r="X28" s="139">
        <f>(I28*2)-(2*3.5*4)</f>
        <v>836.81799999999998</v>
      </c>
      <c r="Z28" s="140"/>
    </row>
    <row r="29" spans="2:26" ht="24.95" customHeight="1">
      <c r="B29" s="177" t="s">
        <v>276</v>
      </c>
      <c r="C29" s="128"/>
      <c r="D29" s="141" t="s">
        <v>74</v>
      </c>
      <c r="E29" s="130"/>
      <c r="F29" s="131">
        <v>6</v>
      </c>
      <c r="G29" s="141" t="s">
        <v>74</v>
      </c>
      <c r="H29" s="133">
        <v>12</v>
      </c>
      <c r="I29" s="142">
        <v>20</v>
      </c>
      <c r="J29" s="143">
        <v>0.5</v>
      </c>
      <c r="K29" s="143">
        <v>3.5</v>
      </c>
      <c r="L29" s="143">
        <v>3.5</v>
      </c>
      <c r="M29" s="143">
        <v>0.5</v>
      </c>
      <c r="N29" s="143">
        <f>I29*3</f>
        <v>60</v>
      </c>
      <c r="O29" s="158">
        <f>I29*(J29+K29+L29+M29)*0.38</f>
        <v>60.8</v>
      </c>
      <c r="P29" s="144"/>
      <c r="Q29" s="138">
        <f>INT((J29+K29+L29+M29)*I29*100+0.5)/100</f>
        <v>160</v>
      </c>
      <c r="R29" s="138">
        <v>0</v>
      </c>
      <c r="S29" s="137">
        <f>INT((J29+K29+L29+M29)*I29*0.15*100+0.5)/100</f>
        <v>24</v>
      </c>
      <c r="T29" s="137">
        <f>INT((J29+K29+L29+M29)*I29*0.2*100+0.5)/100</f>
        <v>32</v>
      </c>
      <c r="U29" s="138">
        <f>INT((K29-0.3+L29-0.3)*I29*100+0.5)/100</f>
        <v>128</v>
      </c>
      <c r="V29" s="138">
        <f>INT(((K29-0.3+L29-0.3))*I29*100+0.5)/100</f>
        <v>128</v>
      </c>
      <c r="W29" s="138">
        <f>U29*0.03</f>
        <v>3.84</v>
      </c>
      <c r="X29" s="139">
        <f>I29</f>
        <v>20</v>
      </c>
      <c r="Z29" s="140"/>
    </row>
    <row r="30" spans="2:26" ht="24.95" customHeight="1">
      <c r="B30" s="177"/>
      <c r="C30" s="155"/>
      <c r="D30" s="156"/>
      <c r="E30" s="157"/>
      <c r="F30" s="131"/>
      <c r="G30" s="141"/>
      <c r="H30" s="133"/>
      <c r="I30" s="142"/>
      <c r="J30" s="143"/>
      <c r="K30" s="143"/>
      <c r="L30" s="143"/>
      <c r="M30" s="143"/>
      <c r="N30" s="143"/>
      <c r="O30" s="144"/>
      <c r="P30" s="144"/>
      <c r="Q30" s="138"/>
      <c r="R30" s="138"/>
      <c r="S30" s="137"/>
      <c r="T30" s="137"/>
      <c r="U30" s="138"/>
      <c r="V30" s="138"/>
      <c r="W30" s="138"/>
      <c r="X30" s="139"/>
      <c r="Z30" s="140"/>
    </row>
    <row r="31" spans="2:26" ht="24.95" customHeight="1">
      <c r="B31" s="176" t="s">
        <v>333</v>
      </c>
      <c r="C31" s="152">
        <v>0</v>
      </c>
      <c r="D31" s="153" t="s">
        <v>74</v>
      </c>
      <c r="E31" s="154">
        <v>0</v>
      </c>
      <c r="F31" s="131">
        <v>10</v>
      </c>
      <c r="G31" s="141" t="s">
        <v>74</v>
      </c>
      <c r="H31" s="133">
        <v>2.0950000000000002</v>
      </c>
      <c r="I31" s="134">
        <f>(F31*20+H31)-(C31*20+E31)</f>
        <v>202.095</v>
      </c>
      <c r="J31" s="135">
        <v>0.5</v>
      </c>
      <c r="K31" s="135">
        <v>3.5</v>
      </c>
      <c r="L31" s="135">
        <v>3.5</v>
      </c>
      <c r="M31" s="135">
        <v>0.5</v>
      </c>
      <c r="N31" s="135">
        <f>I31*3</f>
        <v>606.28499999999997</v>
      </c>
      <c r="O31" s="136">
        <v>756.85400000000004</v>
      </c>
      <c r="P31" s="136">
        <v>90.757999999999996</v>
      </c>
      <c r="Q31" s="137">
        <f>INT((J31+K31+L31+M31)*I31*100+0.5)/100</f>
        <v>1616.76</v>
      </c>
      <c r="R31" s="138">
        <v>0</v>
      </c>
      <c r="S31" s="137">
        <f>INT((J31+K31+L31+M31)*I31*0.15*100+0.5)/100</f>
        <v>242.51</v>
      </c>
      <c r="T31" s="137">
        <f>INT((J31+K31+L31+M31)*I31*0.2*100+0.5)/100</f>
        <v>323.35000000000002</v>
      </c>
      <c r="U31" s="137">
        <f>INT((K31-0.3+L31-0.3)*I31*100+0.5)/100</f>
        <v>1293.4100000000001</v>
      </c>
      <c r="V31" s="137">
        <f>INT(((K31-0.3+L31-0.3))*I31*100+0.5)/100</f>
        <v>1293.4100000000001</v>
      </c>
      <c r="W31" s="137">
        <f>U31*0.03</f>
        <v>38.802300000000002</v>
      </c>
      <c r="X31" s="139">
        <f>(I31*2)-(2*3.5*1)</f>
        <v>397.19</v>
      </c>
      <c r="Z31" s="140"/>
    </row>
    <row r="32" spans="2:26" ht="24.95" customHeight="1">
      <c r="B32" s="177" t="s">
        <v>276</v>
      </c>
      <c r="C32" s="128"/>
      <c r="D32" s="141" t="s">
        <v>74</v>
      </c>
      <c r="E32" s="130"/>
      <c r="F32" s="131"/>
      <c r="G32" s="141" t="s">
        <v>74</v>
      </c>
      <c r="H32" s="133"/>
      <c r="I32" s="142">
        <v>0</v>
      </c>
      <c r="J32" s="143">
        <v>0.5</v>
      </c>
      <c r="K32" s="143">
        <v>3.5</v>
      </c>
      <c r="L32" s="143">
        <v>3.5</v>
      </c>
      <c r="M32" s="143">
        <v>0.5</v>
      </c>
      <c r="N32" s="143">
        <f>I32*3</f>
        <v>0</v>
      </c>
      <c r="O32" s="144"/>
      <c r="P32" s="144"/>
      <c r="Q32" s="138">
        <f>INT((J32+K32+L32+M32)*I32*100+0.5)/100</f>
        <v>0</v>
      </c>
      <c r="R32" s="138">
        <v>0</v>
      </c>
      <c r="S32" s="137">
        <f>INT((J32+K32+L32+M32)*I32*0.15*100+0.5)/100</f>
        <v>0</v>
      </c>
      <c r="T32" s="137">
        <f>INT((J32+K32+L32+M32)*I32*0.2*100+0.5)/100</f>
        <v>0</v>
      </c>
      <c r="U32" s="138">
        <f>INT((K32-0.3+L32-0.3)*I32*100+0.5)/100</f>
        <v>0</v>
      </c>
      <c r="V32" s="138">
        <f>INT(((K32-0.3+L32-0.3))*I32*100+0.5)/100</f>
        <v>0</v>
      </c>
      <c r="W32" s="138">
        <f>U32*0.03</f>
        <v>0</v>
      </c>
      <c r="X32" s="139">
        <f>I32</f>
        <v>0</v>
      </c>
      <c r="Z32" s="140"/>
    </row>
    <row r="33" spans="2:26" ht="24.95" customHeight="1">
      <c r="B33" s="177"/>
      <c r="C33" s="155"/>
      <c r="D33" s="156"/>
      <c r="E33" s="157"/>
      <c r="F33" s="131"/>
      <c r="G33" s="141"/>
      <c r="H33" s="133"/>
      <c r="I33" s="142"/>
      <c r="J33" s="143"/>
      <c r="K33" s="143"/>
      <c r="L33" s="143"/>
      <c r="M33" s="143"/>
      <c r="N33" s="143"/>
      <c r="O33" s="144"/>
      <c r="P33" s="144"/>
      <c r="Q33" s="138"/>
      <c r="R33" s="138"/>
      <c r="S33" s="137"/>
      <c r="T33" s="137"/>
      <c r="U33" s="138"/>
      <c r="V33" s="138"/>
      <c r="W33" s="138"/>
      <c r="X33" s="139"/>
      <c r="Z33" s="140"/>
    </row>
    <row r="34" spans="2:26" ht="24.95" customHeight="1">
      <c r="B34" s="176" t="s">
        <v>334</v>
      </c>
      <c r="C34" s="152">
        <v>0</v>
      </c>
      <c r="D34" s="153" t="s">
        <v>74</v>
      </c>
      <c r="E34" s="154">
        <v>0</v>
      </c>
      <c r="F34" s="131">
        <v>28</v>
      </c>
      <c r="G34" s="141" t="s">
        <v>74</v>
      </c>
      <c r="H34" s="133">
        <v>2.5999999999999999E-2</v>
      </c>
      <c r="I34" s="134">
        <f>(F34*20+H34)-(C34*20+E34)</f>
        <v>560.02599999999995</v>
      </c>
      <c r="J34" s="135">
        <v>0.5</v>
      </c>
      <c r="K34" s="135">
        <v>3.5</v>
      </c>
      <c r="L34" s="135">
        <v>3.5</v>
      </c>
      <c r="M34" s="135">
        <v>0.5</v>
      </c>
      <c r="N34" s="135">
        <f>I34*3</f>
        <v>1680.078</v>
      </c>
      <c r="O34" s="136">
        <v>2215.8020000000001</v>
      </c>
      <c r="P34" s="136">
        <v>47.826999999999998</v>
      </c>
      <c r="Q34" s="137">
        <f>INT((J34+K34+L34+M34)*I34*100+0.5)/100</f>
        <v>4480.21</v>
      </c>
      <c r="R34" s="138">
        <v>0</v>
      </c>
      <c r="S34" s="137">
        <f>INT((J34+K34+L34+M34)*I34*0.15*100+0.5)/100</f>
        <v>672.03</v>
      </c>
      <c r="T34" s="137">
        <f>INT((J34+K34+L34+M34)*I34*0.2*100+0.5)/100</f>
        <v>896.04</v>
      </c>
      <c r="U34" s="137">
        <f>INT((K34-0.3+L34-0.3)*I34*100+0.5)/100</f>
        <v>3584.17</v>
      </c>
      <c r="V34" s="137">
        <f>INT(((K34-0.3+L34-0.3))*I34*100+0.5)/100</f>
        <v>3584.17</v>
      </c>
      <c r="W34" s="137">
        <f>U34*0.03</f>
        <v>107.52509999999999</v>
      </c>
      <c r="X34" s="139">
        <f>(I34*2)-(2*3.5*4)</f>
        <v>1092.0519999999999</v>
      </c>
      <c r="Z34" s="140"/>
    </row>
    <row r="35" spans="2:26" ht="24.95" customHeight="1">
      <c r="B35" s="177" t="s">
        <v>276</v>
      </c>
      <c r="C35" s="128"/>
      <c r="D35" s="141" t="s">
        <v>74</v>
      </c>
      <c r="E35" s="130"/>
      <c r="F35" s="131"/>
      <c r="G35" s="141" t="s">
        <v>74</v>
      </c>
      <c r="H35" s="133"/>
      <c r="I35" s="142">
        <v>0</v>
      </c>
      <c r="J35" s="143">
        <v>0.5</v>
      </c>
      <c r="K35" s="143">
        <v>3.5</v>
      </c>
      <c r="L35" s="143">
        <v>3.5</v>
      </c>
      <c r="M35" s="143">
        <v>0.5</v>
      </c>
      <c r="N35" s="143">
        <f>I35*3</f>
        <v>0</v>
      </c>
      <c r="O35" s="144"/>
      <c r="P35" s="144"/>
      <c r="Q35" s="138">
        <f>INT((J35+K35+L35+M35)*I35*100+0.5)/100</f>
        <v>0</v>
      </c>
      <c r="R35" s="138">
        <v>0</v>
      </c>
      <c r="S35" s="137">
        <f>INT((J35+K35+L35+M35)*I35*0.15*100+0.5)/100</f>
        <v>0</v>
      </c>
      <c r="T35" s="137">
        <f>INT((J35+K35+L35+M35)*I35*0.2*100+0.5)/100</f>
        <v>0</v>
      </c>
      <c r="U35" s="138">
        <f>INT((K35-0.3+L35-0.3)*I35*100+0.5)/100</f>
        <v>0</v>
      </c>
      <c r="V35" s="138">
        <f>INT(((K35-0.3+L35-0.3))*I35*100+0.5)/100</f>
        <v>0</v>
      </c>
      <c r="W35" s="138">
        <f>U35*0.03</f>
        <v>0</v>
      </c>
      <c r="X35" s="139">
        <f>I35</f>
        <v>0</v>
      </c>
      <c r="Z35" s="140"/>
    </row>
    <row r="36" spans="2:26" ht="24.95" customHeight="1">
      <c r="B36" s="177"/>
      <c r="C36" s="155"/>
      <c r="D36" s="156"/>
      <c r="E36" s="157"/>
      <c r="F36" s="131"/>
      <c r="G36" s="141"/>
      <c r="H36" s="133"/>
      <c r="I36" s="142"/>
      <c r="J36" s="143"/>
      <c r="K36" s="143"/>
      <c r="L36" s="143"/>
      <c r="M36" s="143"/>
      <c r="N36" s="143"/>
      <c r="O36" s="144"/>
      <c r="P36" s="144"/>
      <c r="Q36" s="138"/>
      <c r="R36" s="138"/>
      <c r="S36" s="137"/>
      <c r="T36" s="137"/>
      <c r="U36" s="138"/>
      <c r="V36" s="138"/>
      <c r="W36" s="138"/>
      <c r="X36" s="139"/>
      <c r="Z36" s="140"/>
    </row>
    <row r="37" spans="2:26" ht="24.95" customHeight="1">
      <c r="B37" s="176" t="s">
        <v>335</v>
      </c>
      <c r="C37" s="152">
        <v>0</v>
      </c>
      <c r="D37" s="153" t="s">
        <v>74</v>
      </c>
      <c r="E37" s="154">
        <v>0</v>
      </c>
      <c r="F37" s="131">
        <v>4</v>
      </c>
      <c r="G37" s="141" t="s">
        <v>74</v>
      </c>
      <c r="H37" s="133">
        <v>17.254000000000001</v>
      </c>
      <c r="I37" s="134">
        <f>(F37*20+H37)-(C37*20+E37)</f>
        <v>97.254000000000005</v>
      </c>
      <c r="J37" s="135">
        <v>0.5</v>
      </c>
      <c r="K37" s="135">
        <v>3.5</v>
      </c>
      <c r="L37" s="135">
        <v>3.5</v>
      </c>
      <c r="M37" s="135">
        <v>0.5</v>
      </c>
      <c r="N37" s="135">
        <f>I37*3</f>
        <v>291.762</v>
      </c>
      <c r="O37" s="136">
        <v>455.37700000000001</v>
      </c>
      <c r="P37" s="136">
        <v>14.646000000000001</v>
      </c>
      <c r="Q37" s="137">
        <f>INT((J37+K37+L37+M37)*I37*100+0.5)/100</f>
        <v>778.03</v>
      </c>
      <c r="R37" s="138">
        <v>0</v>
      </c>
      <c r="S37" s="137">
        <f>INT((J37+K37+L37+M37)*I37*0.15*100+0.5)/100</f>
        <v>116.7</v>
      </c>
      <c r="T37" s="137">
        <f>INT((J37+K37+L37+M37)*I37*0.2*100+0.5)/100</f>
        <v>155.61000000000001</v>
      </c>
      <c r="U37" s="137">
        <f>INT((K37-0.3+L37-0.3)*I37*100+0.5)/100</f>
        <v>622.42999999999995</v>
      </c>
      <c r="V37" s="137">
        <f>INT(((K37-0.3+L37-0.3))*I37*100+0.5)/100</f>
        <v>622.42999999999995</v>
      </c>
      <c r="W37" s="137">
        <f>U37*0.03</f>
        <v>18.672899999999998</v>
      </c>
      <c r="X37" s="139">
        <f>(I37*2)-(2*3.5*0)</f>
        <v>194.50800000000001</v>
      </c>
      <c r="Z37" s="140"/>
    </row>
    <row r="38" spans="2:26" ht="24.95" customHeight="1">
      <c r="B38" s="177" t="s">
        <v>276</v>
      </c>
      <c r="C38" s="128"/>
      <c r="D38" s="141" t="s">
        <v>74</v>
      </c>
      <c r="E38" s="130"/>
      <c r="F38" s="131"/>
      <c r="G38" s="141" t="s">
        <v>74</v>
      </c>
      <c r="H38" s="133"/>
      <c r="I38" s="142">
        <v>0</v>
      </c>
      <c r="J38" s="143">
        <v>0.5</v>
      </c>
      <c r="K38" s="143">
        <v>3.5</v>
      </c>
      <c r="L38" s="143">
        <v>3.5</v>
      </c>
      <c r="M38" s="143">
        <v>0.5</v>
      </c>
      <c r="N38" s="143">
        <f>I38*3</f>
        <v>0</v>
      </c>
      <c r="O38" s="144"/>
      <c r="P38" s="144"/>
      <c r="Q38" s="138">
        <f>INT((J38+K38+L38+M38)*I38*100+0.5)/100</f>
        <v>0</v>
      </c>
      <c r="R38" s="138">
        <v>0</v>
      </c>
      <c r="S38" s="137">
        <f>INT((J38+K38+L38+M38)*I38*0.15*100+0.5)/100</f>
        <v>0</v>
      </c>
      <c r="T38" s="137">
        <f>INT((J38+K38+L38+M38)*I38*0.2*100+0.5)/100</f>
        <v>0</v>
      </c>
      <c r="U38" s="138">
        <f>INT((K38-0.3+L38-0.3)*I38*100+0.5)/100</f>
        <v>0</v>
      </c>
      <c r="V38" s="138">
        <f>INT(((K38-0.3+L38-0.3))*I38*100+0.5)/100</f>
        <v>0</v>
      </c>
      <c r="W38" s="138">
        <f>U38*0.03</f>
        <v>0</v>
      </c>
      <c r="X38" s="139">
        <f>I38</f>
        <v>0</v>
      </c>
      <c r="Z38" s="140"/>
    </row>
    <row r="39" spans="2:26" ht="24.95" customHeight="1">
      <c r="B39" s="177"/>
      <c r="C39" s="155"/>
      <c r="D39" s="156"/>
      <c r="E39" s="157"/>
      <c r="F39" s="131"/>
      <c r="G39" s="141"/>
      <c r="H39" s="133"/>
      <c r="I39" s="142"/>
      <c r="J39" s="143"/>
      <c r="K39" s="143"/>
      <c r="L39" s="143"/>
      <c r="M39" s="143"/>
      <c r="N39" s="143"/>
      <c r="O39" s="144"/>
      <c r="P39" s="144"/>
      <c r="Q39" s="138"/>
      <c r="R39" s="138"/>
      <c r="S39" s="137"/>
      <c r="T39" s="137"/>
      <c r="U39" s="138"/>
      <c r="V39" s="138"/>
      <c r="W39" s="138"/>
      <c r="X39" s="139"/>
      <c r="Z39" s="140"/>
    </row>
    <row r="40" spans="2:26" ht="24.95" customHeight="1">
      <c r="B40" s="176" t="s">
        <v>336</v>
      </c>
      <c r="C40" s="152">
        <v>0</v>
      </c>
      <c r="D40" s="153" t="s">
        <v>74</v>
      </c>
      <c r="E40" s="154">
        <v>0</v>
      </c>
      <c r="F40" s="131">
        <v>13</v>
      </c>
      <c r="G40" s="141" t="s">
        <v>74</v>
      </c>
      <c r="H40" s="133">
        <v>12.170999999999999</v>
      </c>
      <c r="I40" s="134">
        <f>(F40*20+H40)-(C40*20+E40)</f>
        <v>272.17099999999999</v>
      </c>
      <c r="J40" s="135">
        <v>0.5</v>
      </c>
      <c r="K40" s="135">
        <v>3.5</v>
      </c>
      <c r="L40" s="135">
        <v>3.5</v>
      </c>
      <c r="M40" s="135">
        <v>0.5</v>
      </c>
      <c r="N40" s="135">
        <f>I40*3</f>
        <v>816.51299999999992</v>
      </c>
      <c r="O40" s="136">
        <v>1102.329</v>
      </c>
      <c r="P40" s="136">
        <v>36.18</v>
      </c>
      <c r="Q40" s="137">
        <f>INT((J40+K40+L40+M40)*I40*100+0.5)/100</f>
        <v>2177.37</v>
      </c>
      <c r="R40" s="138">
        <v>0</v>
      </c>
      <c r="S40" s="137">
        <f>INT((J40+K40+L40+M40)*I40*0.15*100+0.5)/100</f>
        <v>326.61</v>
      </c>
      <c r="T40" s="137">
        <f>INT((J40+K40+L40+M40)*I40*0.2*100+0.5)/100</f>
        <v>435.47</v>
      </c>
      <c r="U40" s="137">
        <f>INT((K40-0.3+L40-0.3)*I40*100+0.5)/100</f>
        <v>1741.89</v>
      </c>
      <c r="V40" s="137">
        <f>INT(((K40-0.3+L40-0.3))*I40*100+0.5)/100</f>
        <v>1741.89</v>
      </c>
      <c r="W40" s="137">
        <f>U40*0.03</f>
        <v>52.256700000000002</v>
      </c>
      <c r="X40" s="139">
        <f>(I40*2)-(2*3.5*0)</f>
        <v>544.34199999999998</v>
      </c>
      <c r="Z40" s="140"/>
    </row>
    <row r="41" spans="2:26" ht="24.95" customHeight="1">
      <c r="B41" s="177" t="s">
        <v>276</v>
      </c>
      <c r="C41" s="128"/>
      <c r="D41" s="141" t="s">
        <v>74</v>
      </c>
      <c r="E41" s="130"/>
      <c r="F41" s="131"/>
      <c r="G41" s="141" t="s">
        <v>74</v>
      </c>
      <c r="H41" s="133"/>
      <c r="I41" s="142">
        <v>0</v>
      </c>
      <c r="J41" s="143">
        <v>0.5</v>
      </c>
      <c r="K41" s="143">
        <v>3.5</v>
      </c>
      <c r="L41" s="143">
        <v>3.5</v>
      </c>
      <c r="M41" s="143">
        <v>0.5</v>
      </c>
      <c r="N41" s="143">
        <f>I41*3</f>
        <v>0</v>
      </c>
      <c r="O41" s="144"/>
      <c r="P41" s="144"/>
      <c r="Q41" s="138">
        <f>INT((J41+K41+L41+M41)*I41*100+0.5)/100</f>
        <v>0</v>
      </c>
      <c r="R41" s="138">
        <v>0</v>
      </c>
      <c r="S41" s="137">
        <f>INT((J41+K41+L41+M41)*I41*0.15*100+0.5)/100</f>
        <v>0</v>
      </c>
      <c r="T41" s="137">
        <f>INT((J41+K41+L41+M41)*I41*0.2*100+0.5)/100</f>
        <v>0</v>
      </c>
      <c r="U41" s="138">
        <f>INT((K41-0.3+L41-0.3)*I41*100+0.5)/100</f>
        <v>0</v>
      </c>
      <c r="V41" s="138">
        <f>INT(((K41-0.3+L41-0.3))*I41*100+0.5)/100</f>
        <v>0</v>
      </c>
      <c r="W41" s="138">
        <f>U41*0.03</f>
        <v>0</v>
      </c>
      <c r="X41" s="139">
        <f>I41</f>
        <v>0</v>
      </c>
      <c r="Z41" s="140"/>
    </row>
    <row r="42" spans="2:26" ht="24.95" customHeight="1">
      <c r="B42" s="177"/>
      <c r="C42" s="155"/>
      <c r="D42" s="156"/>
      <c r="E42" s="157"/>
      <c r="F42" s="131"/>
      <c r="G42" s="141"/>
      <c r="H42" s="133"/>
      <c r="I42" s="142"/>
      <c r="J42" s="143"/>
      <c r="K42" s="143"/>
      <c r="L42" s="143"/>
      <c r="M42" s="143"/>
      <c r="N42" s="143"/>
      <c r="O42" s="144"/>
      <c r="P42" s="144"/>
      <c r="Q42" s="138"/>
      <c r="R42" s="138"/>
      <c r="S42" s="137"/>
      <c r="T42" s="137"/>
      <c r="U42" s="138"/>
      <c r="V42" s="138"/>
      <c r="W42" s="138"/>
      <c r="X42" s="139"/>
      <c r="Z42" s="140"/>
    </row>
    <row r="43" spans="2:26" ht="24.95" customHeight="1">
      <c r="B43" s="176" t="s">
        <v>337</v>
      </c>
      <c r="C43" s="152">
        <v>0</v>
      </c>
      <c r="D43" s="153" t="s">
        <v>74</v>
      </c>
      <c r="E43" s="154">
        <v>0</v>
      </c>
      <c r="F43" s="131">
        <v>14</v>
      </c>
      <c r="G43" s="141" t="s">
        <v>74</v>
      </c>
      <c r="H43" s="133">
        <v>6.6050000000000004</v>
      </c>
      <c r="I43" s="134">
        <f>(F43*20+H43)-(C43*20+E43)</f>
        <v>286.60500000000002</v>
      </c>
      <c r="J43" s="135">
        <v>0.5</v>
      </c>
      <c r="K43" s="135">
        <v>3.5</v>
      </c>
      <c r="L43" s="135">
        <v>3.5</v>
      </c>
      <c r="M43" s="135">
        <v>0.5</v>
      </c>
      <c r="N43" s="135">
        <f>I43*3</f>
        <v>859.81500000000005</v>
      </c>
      <c r="O43" s="136">
        <v>1045.6110000000001</v>
      </c>
      <c r="P43" s="136">
        <v>38.378</v>
      </c>
      <c r="Q43" s="137">
        <f>INT((J43+K43+L43+M43)*I43*100+0.5)/100</f>
        <v>2292.84</v>
      </c>
      <c r="R43" s="138">
        <v>0</v>
      </c>
      <c r="S43" s="137">
        <f>INT((J43+K43+L43+M43)*I43*0.15*100+0.5)/100</f>
        <v>343.93</v>
      </c>
      <c r="T43" s="137">
        <f>INT((J43+K43+L43+M43)*I43*0.2*100+0.5)/100</f>
        <v>458.57</v>
      </c>
      <c r="U43" s="137">
        <f>INT((K43-0.3+L43-0.3)*I43*100+0.5)/100</f>
        <v>1834.27</v>
      </c>
      <c r="V43" s="137">
        <f>INT(((K43-0.3+L43-0.3))*I43*100+0.5)/100</f>
        <v>1834.27</v>
      </c>
      <c r="W43" s="137">
        <f>U43*0.03</f>
        <v>55.028099999999995</v>
      </c>
      <c r="X43" s="139">
        <f>(I43*2)-(2*3.5*2)</f>
        <v>559.21</v>
      </c>
      <c r="Z43" s="140"/>
    </row>
    <row r="44" spans="2:26" ht="24.95" customHeight="1">
      <c r="B44" s="177" t="s">
        <v>276</v>
      </c>
      <c r="C44" s="128"/>
      <c r="D44" s="141" t="s">
        <v>74</v>
      </c>
      <c r="E44" s="130"/>
      <c r="F44" s="131">
        <v>14</v>
      </c>
      <c r="G44" s="141" t="s">
        <v>74</v>
      </c>
      <c r="H44" s="133">
        <v>6.6050000000000004</v>
      </c>
      <c r="I44" s="142">
        <v>20</v>
      </c>
      <c r="J44" s="143">
        <v>0.5</v>
      </c>
      <c r="K44" s="143">
        <v>3.5</v>
      </c>
      <c r="L44" s="143">
        <v>3.5</v>
      </c>
      <c r="M44" s="143">
        <v>0.5</v>
      </c>
      <c r="N44" s="143">
        <f>I44*3</f>
        <v>60</v>
      </c>
      <c r="O44" s="158">
        <f>I44*(J44+K44+L44+M44)*0.38</f>
        <v>60.8</v>
      </c>
      <c r="P44" s="144"/>
      <c r="Q44" s="138">
        <f>INT((J44+K44+L44+M44)*I44*100+0.5)/100</f>
        <v>160</v>
      </c>
      <c r="R44" s="138">
        <v>0</v>
      </c>
      <c r="S44" s="137">
        <f>INT((J44+K44+L44+M44)*I44*0.15*100+0.5)/100</f>
        <v>24</v>
      </c>
      <c r="T44" s="137">
        <f>INT((J44+K44+L44+M44)*I44*0.2*100+0.5)/100</f>
        <v>32</v>
      </c>
      <c r="U44" s="138">
        <f>INT((K44-0.3+L44-0.3)*I44*100+0.5)/100</f>
        <v>128</v>
      </c>
      <c r="V44" s="138">
        <f>INT(((K44-0.3+L44-0.3))*I44*100+0.5)/100</f>
        <v>128</v>
      </c>
      <c r="W44" s="138">
        <f>U44*0.03</f>
        <v>3.84</v>
      </c>
      <c r="X44" s="139">
        <f>I44</f>
        <v>20</v>
      </c>
      <c r="Z44" s="140"/>
    </row>
    <row r="45" spans="2:26" ht="24.95" customHeight="1">
      <c r="B45" s="177"/>
      <c r="C45" s="155"/>
      <c r="D45" s="156"/>
      <c r="E45" s="157"/>
      <c r="F45" s="131"/>
      <c r="G45" s="141"/>
      <c r="H45" s="133"/>
      <c r="I45" s="142"/>
      <c r="J45" s="143"/>
      <c r="K45" s="143"/>
      <c r="L45" s="143"/>
      <c r="M45" s="143"/>
      <c r="N45" s="143"/>
      <c r="O45" s="144"/>
      <c r="P45" s="144"/>
      <c r="Q45" s="138"/>
      <c r="R45" s="138"/>
      <c r="S45" s="137"/>
      <c r="T45" s="137"/>
      <c r="U45" s="138"/>
      <c r="V45" s="138"/>
      <c r="W45" s="138"/>
      <c r="X45" s="139"/>
      <c r="Z45" s="140"/>
    </row>
    <row r="46" spans="2:26" ht="24.95" customHeight="1">
      <c r="B46" s="176" t="s">
        <v>338</v>
      </c>
      <c r="C46" s="152">
        <v>0</v>
      </c>
      <c r="D46" s="153" t="s">
        <v>74</v>
      </c>
      <c r="E46" s="154">
        <v>0</v>
      </c>
      <c r="F46" s="131">
        <v>9</v>
      </c>
      <c r="G46" s="141" t="s">
        <v>74</v>
      </c>
      <c r="H46" s="133">
        <v>8.2929999999999993</v>
      </c>
      <c r="I46" s="134">
        <f>(F46*20+H46)-(C46*20+E46)</f>
        <v>188.29300000000001</v>
      </c>
      <c r="J46" s="135">
        <v>0.5</v>
      </c>
      <c r="K46" s="135">
        <v>3.5</v>
      </c>
      <c r="L46" s="135">
        <v>3.5</v>
      </c>
      <c r="M46" s="135">
        <v>0.5</v>
      </c>
      <c r="N46" s="135">
        <f>I46*3</f>
        <v>564.87900000000002</v>
      </c>
      <c r="O46" s="136">
        <v>645.899</v>
      </c>
      <c r="P46" s="136">
        <v>14.832000000000001</v>
      </c>
      <c r="Q46" s="137">
        <f>INT((J46+K46+L46+M46)*I46*100+0.5)/100</f>
        <v>1506.34</v>
      </c>
      <c r="R46" s="138">
        <v>0</v>
      </c>
      <c r="S46" s="137">
        <f>INT((J46+K46+L46+M46)*I46*0.15*100+0.5)/100</f>
        <v>225.95</v>
      </c>
      <c r="T46" s="137">
        <f>INT((J46+K46+L46+M46)*I46*0.2*100+0.5)/100</f>
        <v>301.27</v>
      </c>
      <c r="U46" s="137">
        <f>INT((K46-0.3+L46-0.3)*I46*100+0.5)/100</f>
        <v>1205.08</v>
      </c>
      <c r="V46" s="137">
        <f>INT(((K46-0.3+L46-0.3))*I46*100+0.5)/100</f>
        <v>1205.08</v>
      </c>
      <c r="W46" s="137">
        <f>U46*0.03</f>
        <v>36.152399999999993</v>
      </c>
      <c r="X46" s="139">
        <f>(I46*2)-(2*3.5*4)</f>
        <v>348.58600000000001</v>
      </c>
      <c r="Z46" s="140"/>
    </row>
    <row r="47" spans="2:26" ht="24.95" customHeight="1">
      <c r="B47" s="177" t="s">
        <v>276</v>
      </c>
      <c r="C47" s="128"/>
      <c r="D47" s="141" t="s">
        <v>74</v>
      </c>
      <c r="E47" s="130"/>
      <c r="F47" s="131">
        <v>9</v>
      </c>
      <c r="G47" s="141" t="s">
        <v>74</v>
      </c>
      <c r="H47" s="133">
        <v>8.2929999999999993</v>
      </c>
      <c r="I47" s="142">
        <v>20</v>
      </c>
      <c r="J47" s="143">
        <v>0.5</v>
      </c>
      <c r="K47" s="143">
        <v>3.5</v>
      </c>
      <c r="L47" s="143">
        <v>3.5</v>
      </c>
      <c r="M47" s="143">
        <v>0.5</v>
      </c>
      <c r="N47" s="143">
        <f>I47*3</f>
        <v>60</v>
      </c>
      <c r="O47" s="158">
        <f>I47*(J47+K47+L47+M47)*0.38</f>
        <v>60.8</v>
      </c>
      <c r="P47" s="144"/>
      <c r="Q47" s="138">
        <f>INT((J47+K47+L47+M47)*I47*100+0.5)/100</f>
        <v>160</v>
      </c>
      <c r="R47" s="138">
        <v>0</v>
      </c>
      <c r="S47" s="137">
        <f>INT((J47+K47+L47+M47)*I47*0.15*100+0.5)/100</f>
        <v>24</v>
      </c>
      <c r="T47" s="137">
        <f>INT((J47+K47+L47+M47)*I47*0.2*100+0.5)/100</f>
        <v>32</v>
      </c>
      <c r="U47" s="138">
        <f>INT((K47-0.3+L47-0.3)*I47*100+0.5)/100</f>
        <v>128</v>
      </c>
      <c r="V47" s="138">
        <f>INT(((K47-0.3+L47-0.3))*I47*100+0.5)/100</f>
        <v>128</v>
      </c>
      <c r="W47" s="138">
        <f>U47*0.03</f>
        <v>3.84</v>
      </c>
      <c r="X47" s="139">
        <f>I47</f>
        <v>20</v>
      </c>
      <c r="Z47" s="140"/>
    </row>
    <row r="48" spans="2:26" ht="24.95" customHeight="1">
      <c r="B48" s="177"/>
      <c r="C48" s="155"/>
      <c r="D48" s="156"/>
      <c r="E48" s="157"/>
      <c r="F48" s="131"/>
      <c r="G48" s="141"/>
      <c r="H48" s="133"/>
      <c r="I48" s="142"/>
      <c r="J48" s="143"/>
      <c r="K48" s="143"/>
      <c r="L48" s="143"/>
      <c r="M48" s="143"/>
      <c r="N48" s="143"/>
      <c r="O48" s="144"/>
      <c r="P48" s="144"/>
      <c r="Q48" s="138"/>
      <c r="R48" s="138"/>
      <c r="S48" s="137"/>
      <c r="T48" s="137"/>
      <c r="U48" s="138"/>
      <c r="V48" s="138"/>
      <c r="W48" s="138"/>
      <c r="X48" s="139"/>
      <c r="Z48" s="140"/>
    </row>
    <row r="49" spans="2:26" ht="24.95" customHeight="1">
      <c r="B49" s="176" t="s">
        <v>339</v>
      </c>
      <c r="C49" s="152">
        <v>0</v>
      </c>
      <c r="D49" s="153" t="s">
        <v>74</v>
      </c>
      <c r="E49" s="154">
        <v>0</v>
      </c>
      <c r="F49" s="131">
        <v>25</v>
      </c>
      <c r="G49" s="141" t="s">
        <v>74</v>
      </c>
      <c r="H49" s="133">
        <v>2.2669999999999999</v>
      </c>
      <c r="I49" s="134">
        <f>(F49*20+H49)-(C49*20+E49)</f>
        <v>502.267</v>
      </c>
      <c r="J49" s="135">
        <v>0.5</v>
      </c>
      <c r="K49" s="135">
        <v>3.5</v>
      </c>
      <c r="L49" s="135">
        <v>3.5</v>
      </c>
      <c r="M49" s="135">
        <v>0.5</v>
      </c>
      <c r="N49" s="135">
        <f>I49*3</f>
        <v>1506.8009999999999</v>
      </c>
      <c r="O49" s="136">
        <v>1932.0630000000001</v>
      </c>
      <c r="P49" s="136">
        <v>67.756</v>
      </c>
      <c r="Q49" s="137">
        <f>INT((J49+K49+L49+M49)*I49*100+0.5)/100</f>
        <v>4018.14</v>
      </c>
      <c r="R49" s="138">
        <v>0</v>
      </c>
      <c r="S49" s="137">
        <f>INT((J49+K49+L49+M49)*I49*0.15*100+0.5)/100</f>
        <v>602.72</v>
      </c>
      <c r="T49" s="137">
        <f>INT((J49+K49+L49+M49)*I49*0.2*100+0.5)/100</f>
        <v>803.63</v>
      </c>
      <c r="U49" s="137">
        <f>INT((K49-0.3+L49-0.3)*I49*100+0.5)/100</f>
        <v>3214.51</v>
      </c>
      <c r="V49" s="137">
        <f>INT(((K49-0.3+L49-0.3))*I49*100+0.5)/100</f>
        <v>3214.51</v>
      </c>
      <c r="W49" s="137">
        <f>U49*0.03</f>
        <v>96.435299999999998</v>
      </c>
      <c r="X49" s="139">
        <f>(I49*2)-(2*3.5*2)</f>
        <v>990.53399999999999</v>
      </c>
      <c r="Z49" s="140"/>
    </row>
    <row r="50" spans="2:26" ht="24.95" customHeight="1">
      <c r="B50" s="177" t="s">
        <v>276</v>
      </c>
      <c r="C50" s="128"/>
      <c r="D50" s="141" t="s">
        <v>74</v>
      </c>
      <c r="E50" s="130"/>
      <c r="F50" s="131">
        <v>25</v>
      </c>
      <c r="G50" s="141" t="s">
        <v>74</v>
      </c>
      <c r="H50" s="133">
        <v>2.2669999999999999</v>
      </c>
      <c r="I50" s="142">
        <v>20</v>
      </c>
      <c r="J50" s="143">
        <v>0.5</v>
      </c>
      <c r="K50" s="143">
        <v>3.5</v>
      </c>
      <c r="L50" s="143">
        <v>3.5</v>
      </c>
      <c r="M50" s="143">
        <v>0.5</v>
      </c>
      <c r="N50" s="143">
        <f>I50*3</f>
        <v>60</v>
      </c>
      <c r="O50" s="158">
        <f>I50*(J50+K50+L50+M50)*0.38</f>
        <v>60.8</v>
      </c>
      <c r="P50" s="144"/>
      <c r="Q50" s="138">
        <f>INT((J50+K50+L50+M50)*I50*100+0.5)/100</f>
        <v>160</v>
      </c>
      <c r="R50" s="138">
        <v>0</v>
      </c>
      <c r="S50" s="137">
        <f>INT((J50+K50+L50+M50)*I50*0.15*100+0.5)/100</f>
        <v>24</v>
      </c>
      <c r="T50" s="137">
        <f>INT((J50+K50+L50+M50)*I50*0.2*100+0.5)/100</f>
        <v>32</v>
      </c>
      <c r="U50" s="138">
        <f>INT((K50-0.3+L50-0.3)*I50*100+0.5)/100</f>
        <v>128</v>
      </c>
      <c r="V50" s="138">
        <f>INT(((K50-0.3+L50-0.3))*I50*100+0.5)/100</f>
        <v>128</v>
      </c>
      <c r="W50" s="138">
        <f>U50*0.03</f>
        <v>3.84</v>
      </c>
      <c r="X50" s="139">
        <f>I50</f>
        <v>20</v>
      </c>
      <c r="Z50" s="140"/>
    </row>
    <row r="51" spans="2:26" ht="24.95" customHeight="1">
      <c r="B51" s="177"/>
      <c r="C51" s="155"/>
      <c r="D51" s="156"/>
      <c r="E51" s="157"/>
      <c r="F51" s="131"/>
      <c r="G51" s="141"/>
      <c r="H51" s="133"/>
      <c r="I51" s="142"/>
      <c r="J51" s="143"/>
      <c r="K51" s="143"/>
      <c r="L51" s="143"/>
      <c r="M51" s="143"/>
      <c r="N51" s="143"/>
      <c r="O51" s="144"/>
      <c r="P51" s="144"/>
      <c r="Q51" s="138"/>
      <c r="R51" s="138"/>
      <c r="S51" s="137"/>
      <c r="T51" s="137"/>
      <c r="U51" s="138"/>
      <c r="V51" s="138"/>
      <c r="W51" s="138"/>
      <c r="X51" s="139"/>
      <c r="Z51" s="140"/>
    </row>
    <row r="52" spans="2:26" ht="24.95" customHeight="1">
      <c r="B52" s="176" t="s">
        <v>340</v>
      </c>
      <c r="C52" s="152">
        <v>0</v>
      </c>
      <c r="D52" s="153" t="s">
        <v>74</v>
      </c>
      <c r="E52" s="154">
        <v>0</v>
      </c>
      <c r="F52" s="131">
        <v>5</v>
      </c>
      <c r="G52" s="141" t="s">
        <v>74</v>
      </c>
      <c r="H52" s="133">
        <v>18.466999999999999</v>
      </c>
      <c r="I52" s="134">
        <f>(F52*20+H52)-(C52*20+E52)</f>
        <v>118.467</v>
      </c>
      <c r="J52" s="135">
        <v>0.5</v>
      </c>
      <c r="K52" s="135">
        <v>3.5</v>
      </c>
      <c r="L52" s="135">
        <v>3.5</v>
      </c>
      <c r="M52" s="135">
        <v>0.5</v>
      </c>
      <c r="N52" s="135">
        <f>I52*3</f>
        <v>355.40100000000001</v>
      </c>
      <c r="O52" s="136">
        <v>527.59900000000005</v>
      </c>
      <c r="P52" s="136">
        <v>61.094999999999999</v>
      </c>
      <c r="Q52" s="137">
        <f>INT((J52+K52+L52+M52)*I52*100+0.5)/100</f>
        <v>947.74</v>
      </c>
      <c r="R52" s="138">
        <v>0</v>
      </c>
      <c r="S52" s="137">
        <f>INT((J52+K52+L52+M52)*I52*0.15*100+0.5)/100</f>
        <v>142.16</v>
      </c>
      <c r="T52" s="137">
        <f>INT((J52+K52+L52+M52)*I52*0.2*100+0.5)/100</f>
        <v>189.55</v>
      </c>
      <c r="U52" s="137">
        <f>INT((K52-0.3+L52-0.3)*I52*100+0.5)/100</f>
        <v>758.19</v>
      </c>
      <c r="V52" s="137">
        <f>INT(((K52-0.3+L52-0.3))*I52*100+0.5)/100</f>
        <v>758.19</v>
      </c>
      <c r="W52" s="137">
        <f>U52*0.03</f>
        <v>22.745699999999999</v>
      </c>
      <c r="X52" s="139">
        <f>(I52*2)-(2*3.5*0)</f>
        <v>236.934</v>
      </c>
      <c r="Z52" s="140"/>
    </row>
    <row r="53" spans="2:26" ht="24.95" customHeight="1">
      <c r="B53" s="177" t="s">
        <v>276</v>
      </c>
      <c r="C53" s="128"/>
      <c r="D53" s="141" t="s">
        <v>74</v>
      </c>
      <c r="E53" s="130"/>
      <c r="F53" s="131"/>
      <c r="G53" s="141" t="s">
        <v>74</v>
      </c>
      <c r="H53" s="133"/>
      <c r="I53" s="142">
        <v>0</v>
      </c>
      <c r="J53" s="143">
        <v>0.5</v>
      </c>
      <c r="K53" s="143">
        <v>3.5</v>
      </c>
      <c r="L53" s="143">
        <v>3.5</v>
      </c>
      <c r="M53" s="143">
        <v>0.5</v>
      </c>
      <c r="N53" s="143">
        <f>I53*3</f>
        <v>0</v>
      </c>
      <c r="O53" s="144"/>
      <c r="P53" s="144"/>
      <c r="Q53" s="138">
        <f>INT((J53+K53+L53+M53)*I53*100+0.5)/100</f>
        <v>0</v>
      </c>
      <c r="R53" s="138">
        <v>0</v>
      </c>
      <c r="S53" s="137">
        <f>INT((J53+K53+L53+M53)*I53*0.15*100+0.5)/100</f>
        <v>0</v>
      </c>
      <c r="T53" s="137">
        <f>INT((J53+K53+L53+M53)*I53*0.2*100+0.5)/100</f>
        <v>0</v>
      </c>
      <c r="U53" s="138">
        <f>INT((K53-0.3+L53-0.3)*I53*100+0.5)/100</f>
        <v>0</v>
      </c>
      <c r="V53" s="138">
        <f>INT(((K53-0.3+L53-0.3))*I53*100+0.5)/100</f>
        <v>0</v>
      </c>
      <c r="W53" s="138">
        <f>U53*0.03</f>
        <v>0</v>
      </c>
      <c r="X53" s="139">
        <f>I53</f>
        <v>0</v>
      </c>
      <c r="Z53" s="140"/>
    </row>
    <row r="54" spans="2:26" ht="24.95" customHeight="1" thickBot="1">
      <c r="B54" s="177"/>
      <c r="C54" s="128"/>
      <c r="D54" s="141"/>
      <c r="E54" s="130"/>
      <c r="F54" s="131"/>
      <c r="G54" s="141"/>
      <c r="H54" s="133"/>
      <c r="I54" s="142"/>
      <c r="J54" s="143"/>
      <c r="K54" s="143"/>
      <c r="L54" s="143"/>
      <c r="M54" s="143"/>
      <c r="N54" s="159"/>
      <c r="O54" s="144"/>
      <c r="P54" s="144"/>
      <c r="Q54" s="138"/>
      <c r="R54" s="138"/>
      <c r="S54" s="138"/>
      <c r="T54" s="138"/>
      <c r="U54" s="160"/>
      <c r="V54" s="160"/>
      <c r="W54" s="160"/>
      <c r="X54" s="161"/>
      <c r="Z54" s="140"/>
    </row>
    <row r="55" spans="2:26" ht="24.95" customHeight="1" thickBot="1">
      <c r="B55" s="162" t="s">
        <v>324</v>
      </c>
      <c r="C55" s="163"/>
      <c r="D55" s="164"/>
      <c r="E55" s="165"/>
      <c r="F55" s="163"/>
      <c r="G55" s="166"/>
      <c r="H55" s="165"/>
      <c r="I55" s="167">
        <f>SUM(I7:I54)</f>
        <v>4851.271999999999</v>
      </c>
      <c r="J55" s="168"/>
      <c r="K55" s="168"/>
      <c r="L55" s="168"/>
      <c r="M55" s="168"/>
      <c r="N55" s="167">
        <f t="shared" ref="N55:X55" si="0">SUM(N7:N54)</f>
        <v>14553.815999999999</v>
      </c>
      <c r="O55" s="167">
        <f t="shared" si="0"/>
        <v>17698.187999999995</v>
      </c>
      <c r="P55" s="167">
        <f t="shared" si="0"/>
        <v>932.94399999999996</v>
      </c>
      <c r="Q55" s="167">
        <f t="shared" si="0"/>
        <v>38810.199999999997</v>
      </c>
      <c r="R55" s="167">
        <f t="shared" si="0"/>
        <v>0</v>
      </c>
      <c r="S55" s="167">
        <f t="shared" si="0"/>
        <v>5821.5299999999988</v>
      </c>
      <c r="T55" s="167">
        <f t="shared" si="0"/>
        <v>7762.0499999999993</v>
      </c>
      <c r="U55" s="167">
        <f t="shared" si="0"/>
        <v>31048.140000000003</v>
      </c>
      <c r="V55" s="167">
        <f t="shared" si="0"/>
        <v>31048.140000000003</v>
      </c>
      <c r="W55" s="167">
        <f t="shared" si="0"/>
        <v>931.44419999999991</v>
      </c>
      <c r="X55" s="169">
        <f t="shared" si="0"/>
        <v>9385.5439999999981</v>
      </c>
      <c r="Z55" s="140"/>
    </row>
    <row r="56" spans="2:26">
      <c r="Z56" s="140"/>
    </row>
    <row r="57" spans="2:26">
      <c r="H57" s="173" t="s">
        <v>277</v>
      </c>
      <c r="I57" s="174">
        <f>I55*(K10+L10)</f>
        <v>33958.903999999995</v>
      </c>
    </row>
    <row r="58" spans="2:26">
      <c r="O58" s="172"/>
    </row>
    <row r="60" spans="2:26">
      <c r="I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</row>
    <row r="62" spans="2:26">
      <c r="I62" s="175"/>
    </row>
  </sheetData>
  <mergeCells count="24">
    <mergeCell ref="B6:X6"/>
    <mergeCell ref="O4:O5"/>
    <mergeCell ref="P4:P5"/>
    <mergeCell ref="Q3:Q5"/>
    <mergeCell ref="X3:X5"/>
    <mergeCell ref="N3:N5"/>
    <mergeCell ref="O3:P3"/>
    <mergeCell ref="R3:R5"/>
    <mergeCell ref="M4:M5"/>
    <mergeCell ref="C4:E5"/>
    <mergeCell ref="J4:J5"/>
    <mergeCell ref="B1:X1"/>
    <mergeCell ref="B2:X2"/>
    <mergeCell ref="B3:B5"/>
    <mergeCell ref="C3:H3"/>
    <mergeCell ref="I3:I5"/>
    <mergeCell ref="U3:U5"/>
    <mergeCell ref="F4:H5"/>
    <mergeCell ref="J3:M3"/>
    <mergeCell ref="T3:T5"/>
    <mergeCell ref="V3:V5"/>
    <mergeCell ref="S3:S5"/>
    <mergeCell ref="K4:L4"/>
    <mergeCell ref="W3:W5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M35"/>
  <sheetViews>
    <sheetView workbookViewId="0">
      <selection activeCell="P23" sqref="P23"/>
    </sheetView>
  </sheetViews>
  <sheetFormatPr defaultColWidth="9.140625" defaultRowHeight="12.75"/>
  <cols>
    <col min="1" max="1" width="11.7109375" style="66" customWidth="1"/>
    <col min="2" max="2" width="37.42578125" style="66" customWidth="1"/>
    <col min="3" max="4" width="8" style="66" customWidth="1"/>
    <col min="5" max="5" width="15.7109375" style="66" customWidth="1"/>
    <col min="6" max="6" width="8" style="66" customWidth="1"/>
    <col min="7" max="8" width="15.5703125" style="66" customWidth="1"/>
    <col min="9" max="9" width="19.85546875" style="66" customWidth="1"/>
    <col min="10" max="16384" width="9.140625" style="66"/>
  </cols>
  <sheetData>
    <row r="1" spans="1:13" ht="15.75">
      <c r="A1" s="796" t="s">
        <v>98</v>
      </c>
      <c r="B1" s="797"/>
      <c r="C1" s="797"/>
      <c r="D1" s="797"/>
      <c r="E1" s="797"/>
      <c r="F1" s="797"/>
      <c r="G1" s="797"/>
      <c r="H1" s="797"/>
      <c r="I1" s="798"/>
    </row>
    <row r="2" spans="1:13" ht="16.5" thickBot="1">
      <c r="A2" s="823" t="str">
        <f>'TERRAP E PAVIM'!B1</f>
        <v>BAIRRO : MARIA ISABEL</v>
      </c>
      <c r="B2" s="824"/>
      <c r="C2" s="824"/>
      <c r="D2" s="824"/>
      <c r="E2" s="824"/>
      <c r="F2" s="824"/>
      <c r="G2" s="824"/>
      <c r="H2" s="824"/>
      <c r="I2" s="825"/>
    </row>
    <row r="3" spans="1:13" ht="12" customHeight="1">
      <c r="A3" s="817" t="str">
        <f>RESUMO!C49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B3" s="818"/>
      <c r="C3" s="818"/>
      <c r="D3" s="818"/>
      <c r="E3" s="818"/>
      <c r="F3" s="818"/>
      <c r="G3" s="818"/>
      <c r="H3" s="818"/>
      <c r="I3" s="819"/>
    </row>
    <row r="4" spans="1:13" ht="15" customHeight="1">
      <c r="A4" s="820"/>
      <c r="B4" s="821"/>
      <c r="C4" s="821"/>
      <c r="D4" s="821"/>
      <c r="E4" s="821"/>
      <c r="F4" s="821"/>
      <c r="G4" s="821"/>
      <c r="H4" s="821"/>
      <c r="I4" s="822"/>
    </row>
    <row r="5" spans="1:13" ht="14.25" customHeight="1">
      <c r="A5" s="826" t="str">
        <f>QUANT!B6</f>
        <v>OBRA: Pavimentação de Vias Urbanas</v>
      </c>
      <c r="B5" s="827"/>
      <c r="C5" s="827"/>
      <c r="D5" s="827"/>
      <c r="E5" s="827"/>
      <c r="F5" s="827"/>
      <c r="G5" s="827"/>
      <c r="H5" s="827"/>
      <c r="I5" s="828"/>
    </row>
    <row r="6" spans="1:13" ht="13.5" thickBot="1">
      <c r="A6" s="831" t="s">
        <v>97</v>
      </c>
      <c r="B6" s="832"/>
      <c r="C6" s="832"/>
      <c r="D6" s="833"/>
      <c r="E6" s="832"/>
      <c r="F6" s="832"/>
      <c r="G6" s="833"/>
      <c r="H6" s="832"/>
      <c r="I6" s="834"/>
      <c r="M6" s="87"/>
    </row>
    <row r="7" spans="1:13" ht="16.5" customHeight="1">
      <c r="A7" s="811" t="s">
        <v>251</v>
      </c>
      <c r="B7" s="812"/>
      <c r="C7" s="812"/>
      <c r="D7" s="812"/>
      <c r="E7" s="812"/>
      <c r="F7" s="812"/>
      <c r="G7" s="812"/>
      <c r="H7" s="812"/>
      <c r="I7" s="813"/>
    </row>
    <row r="8" spans="1:13" ht="16.5" customHeight="1" thickBot="1">
      <c r="A8" s="814"/>
      <c r="B8" s="815"/>
      <c r="C8" s="815"/>
      <c r="D8" s="815"/>
      <c r="E8" s="815"/>
      <c r="F8" s="815"/>
      <c r="G8" s="815"/>
      <c r="H8" s="815"/>
      <c r="I8" s="816"/>
    </row>
    <row r="9" spans="1:13" ht="15">
      <c r="A9" s="829" t="s">
        <v>37</v>
      </c>
      <c r="B9" s="802" t="s">
        <v>0</v>
      </c>
      <c r="C9" s="803"/>
      <c r="D9" s="804"/>
      <c r="E9" s="67" t="s">
        <v>82</v>
      </c>
      <c r="F9" s="67" t="s">
        <v>83</v>
      </c>
      <c r="G9" s="67" t="s">
        <v>84</v>
      </c>
      <c r="H9" s="67" t="s">
        <v>85</v>
      </c>
      <c r="I9" s="68" t="s">
        <v>86</v>
      </c>
    </row>
    <row r="10" spans="1:13" ht="15.75" thickBot="1">
      <c r="A10" s="830"/>
      <c r="B10" s="805"/>
      <c r="C10" s="806"/>
      <c r="D10" s="807"/>
      <c r="E10" s="69" t="s">
        <v>87</v>
      </c>
      <c r="F10" s="69" t="s">
        <v>88</v>
      </c>
      <c r="G10" s="69" t="s">
        <v>88</v>
      </c>
      <c r="H10" s="69" t="s">
        <v>88</v>
      </c>
      <c r="I10" s="70" t="s">
        <v>88</v>
      </c>
    </row>
    <row r="11" spans="1:13" ht="15">
      <c r="A11" s="71" t="s">
        <v>50</v>
      </c>
      <c r="B11" s="808" t="s">
        <v>89</v>
      </c>
      <c r="C11" s="809"/>
      <c r="D11" s="810"/>
      <c r="E11" s="72">
        <f>SUM(E12:E15)</f>
        <v>6.080000000000001</v>
      </c>
      <c r="F11" s="72"/>
      <c r="G11" s="73"/>
      <c r="H11" s="74"/>
      <c r="I11" s="75"/>
    </row>
    <row r="12" spans="1:13" ht="15">
      <c r="A12" s="76" t="s">
        <v>51</v>
      </c>
      <c r="B12" s="799" t="s">
        <v>90</v>
      </c>
      <c r="C12" s="800"/>
      <c r="D12" s="801"/>
      <c r="E12" s="77">
        <v>4.01</v>
      </c>
      <c r="F12" s="77"/>
      <c r="G12" s="77"/>
      <c r="H12" s="78"/>
      <c r="I12" s="79"/>
    </row>
    <row r="13" spans="1:13" s="87" customFormat="1" ht="15">
      <c r="A13" s="80" t="s">
        <v>52</v>
      </c>
      <c r="B13" s="81" t="s">
        <v>139</v>
      </c>
      <c r="C13" s="82"/>
      <c r="D13" s="83"/>
      <c r="E13" s="84">
        <v>0.4</v>
      </c>
      <c r="F13" s="84"/>
      <c r="G13" s="84"/>
      <c r="H13" s="85"/>
      <c r="I13" s="86"/>
    </row>
    <row r="14" spans="1:13" ht="15">
      <c r="A14" s="76" t="s">
        <v>91</v>
      </c>
      <c r="B14" s="799" t="s">
        <v>80</v>
      </c>
      <c r="C14" s="800"/>
      <c r="D14" s="801"/>
      <c r="E14" s="77">
        <v>0.56000000000000005</v>
      </c>
      <c r="F14" s="77"/>
      <c r="G14" s="77"/>
      <c r="H14" s="78"/>
      <c r="I14" s="79"/>
    </row>
    <row r="15" spans="1:13" ht="15">
      <c r="A15" s="76" t="s">
        <v>138</v>
      </c>
      <c r="B15" s="799" t="s">
        <v>79</v>
      </c>
      <c r="C15" s="800"/>
      <c r="D15" s="801"/>
      <c r="E15" s="77">
        <v>1.1100000000000001</v>
      </c>
      <c r="F15" s="77"/>
      <c r="G15" s="77"/>
      <c r="H15" s="78"/>
      <c r="I15" s="79"/>
    </row>
    <row r="16" spans="1:13" ht="15">
      <c r="A16" s="88"/>
      <c r="B16" s="835"/>
      <c r="C16" s="836"/>
      <c r="D16" s="837"/>
      <c r="E16" s="89"/>
      <c r="F16" s="90"/>
      <c r="G16" s="89"/>
      <c r="H16" s="91"/>
      <c r="I16" s="92"/>
    </row>
    <row r="17" spans="1:9" ht="15">
      <c r="A17" s="93" t="s">
        <v>38</v>
      </c>
      <c r="B17" s="838" t="s">
        <v>92</v>
      </c>
      <c r="C17" s="800"/>
      <c r="D17" s="801"/>
      <c r="E17" s="94">
        <f>E18</f>
        <v>7.3</v>
      </c>
      <c r="F17" s="94"/>
      <c r="G17" s="77"/>
      <c r="H17" s="78"/>
      <c r="I17" s="79"/>
    </row>
    <row r="18" spans="1:9" ht="15">
      <c r="A18" s="76" t="s">
        <v>49</v>
      </c>
      <c r="B18" s="799" t="s">
        <v>93</v>
      </c>
      <c r="C18" s="800"/>
      <c r="D18" s="801"/>
      <c r="E18" s="77">
        <v>7.3</v>
      </c>
      <c r="F18" s="77"/>
      <c r="G18" s="77"/>
      <c r="H18" s="78"/>
      <c r="I18" s="79"/>
    </row>
    <row r="19" spans="1:9" ht="15">
      <c r="A19" s="95"/>
      <c r="B19" s="839"/>
      <c r="C19" s="840"/>
      <c r="D19" s="841"/>
      <c r="E19" s="96"/>
      <c r="F19" s="97"/>
      <c r="G19" s="96"/>
      <c r="H19" s="98"/>
      <c r="I19" s="99"/>
    </row>
    <row r="20" spans="1:9" ht="15">
      <c r="A20" s="93" t="s">
        <v>39</v>
      </c>
      <c r="B20" s="838" t="s">
        <v>94</v>
      </c>
      <c r="C20" s="800"/>
      <c r="D20" s="801"/>
      <c r="E20" s="94">
        <f>E21+E22+E24+E23</f>
        <v>5.65</v>
      </c>
      <c r="F20" s="94"/>
      <c r="G20" s="77"/>
      <c r="H20" s="100"/>
      <c r="I20" s="79"/>
    </row>
    <row r="21" spans="1:9" ht="15">
      <c r="A21" s="76" t="s">
        <v>47</v>
      </c>
      <c r="B21" s="799" t="s">
        <v>140</v>
      </c>
      <c r="C21" s="800"/>
      <c r="D21" s="801"/>
      <c r="E21" s="101">
        <v>0.65</v>
      </c>
      <c r="F21" s="77"/>
      <c r="G21" s="77"/>
      <c r="H21" s="100"/>
      <c r="I21" s="79"/>
    </row>
    <row r="22" spans="1:9" ht="15">
      <c r="A22" s="76" t="s">
        <v>40</v>
      </c>
      <c r="B22" s="799" t="s">
        <v>141</v>
      </c>
      <c r="C22" s="800"/>
      <c r="D22" s="801"/>
      <c r="E22" s="77">
        <v>3</v>
      </c>
      <c r="F22" s="77"/>
      <c r="G22" s="77"/>
      <c r="H22" s="100"/>
      <c r="I22" s="79"/>
    </row>
    <row r="23" spans="1:9" ht="15">
      <c r="A23" s="76" t="s">
        <v>56</v>
      </c>
      <c r="B23" s="799" t="s">
        <v>142</v>
      </c>
      <c r="C23" s="846"/>
      <c r="D23" s="847"/>
      <c r="E23" s="77">
        <v>2</v>
      </c>
      <c r="F23" s="77"/>
      <c r="G23" s="77"/>
      <c r="H23" s="100"/>
      <c r="I23" s="79"/>
    </row>
    <row r="24" spans="1:9" ht="15">
      <c r="A24" s="76" t="s">
        <v>57</v>
      </c>
      <c r="B24" s="799" t="s">
        <v>81</v>
      </c>
      <c r="C24" s="800"/>
      <c r="D24" s="801"/>
      <c r="E24" s="77">
        <v>0</v>
      </c>
      <c r="F24" s="77"/>
      <c r="G24" s="77"/>
      <c r="H24" s="78"/>
      <c r="I24" s="79"/>
    </row>
    <row r="25" spans="1:9">
      <c r="A25" s="76"/>
      <c r="B25" s="838" t="s">
        <v>95</v>
      </c>
      <c r="C25" s="800"/>
      <c r="D25" s="801"/>
      <c r="E25" s="102"/>
      <c r="F25" s="102"/>
      <c r="G25" s="103"/>
      <c r="H25" s="104"/>
      <c r="I25" s="105"/>
    </row>
    <row r="26" spans="1:9">
      <c r="A26" s="850" t="s">
        <v>96</v>
      </c>
      <c r="B26" s="851"/>
      <c r="C26" s="851"/>
      <c r="D26" s="852"/>
      <c r="E26" s="844">
        <f>TRUNC((((1+((E12+E13+E14)/100))*(1+((E15)/100))*(1+((E17/100)))/(1-((E21+E22+E23+E24)/100)))-1),4)</f>
        <v>0.20699999999999999</v>
      </c>
      <c r="F26" s="848"/>
      <c r="G26" s="848"/>
      <c r="H26" s="848"/>
      <c r="I26" s="842">
        <v>0</v>
      </c>
    </row>
    <row r="27" spans="1:9" ht="23.25" customHeight="1" thickBot="1">
      <c r="A27" s="853"/>
      <c r="B27" s="854"/>
      <c r="C27" s="854"/>
      <c r="D27" s="855"/>
      <c r="E27" s="845"/>
      <c r="F27" s="849"/>
      <c r="G27" s="849"/>
      <c r="H27" s="849"/>
      <c r="I27" s="843"/>
    </row>
    <row r="28" spans="1:9">
      <c r="A28" s="106"/>
      <c r="B28" s="107"/>
      <c r="C28" s="107"/>
      <c r="D28" s="107"/>
      <c r="E28" s="107"/>
      <c r="F28" s="108"/>
      <c r="G28" s="108"/>
      <c r="H28" s="108"/>
      <c r="I28" s="109"/>
    </row>
    <row r="29" spans="1:9" ht="12.75" customHeight="1">
      <c r="A29" s="110" t="s">
        <v>143</v>
      </c>
      <c r="B29" s="34"/>
      <c r="C29" s="111"/>
      <c r="D29" s="111"/>
      <c r="E29" s="111"/>
      <c r="F29" s="112"/>
      <c r="G29" s="113"/>
      <c r="H29" s="112"/>
      <c r="I29" s="114"/>
    </row>
    <row r="30" spans="1:9">
      <c r="A30" s="110"/>
      <c r="B30" s="111"/>
      <c r="C30" s="111"/>
      <c r="D30" s="111"/>
      <c r="E30" s="111"/>
      <c r="F30" s="112"/>
      <c r="G30" s="112"/>
      <c r="H30" s="112"/>
      <c r="I30" s="114"/>
    </row>
    <row r="31" spans="1:9" ht="15.75">
      <c r="A31" s="110"/>
      <c r="B31" s="111"/>
      <c r="C31" s="111"/>
      <c r="D31" s="111"/>
      <c r="E31" s="111"/>
      <c r="F31" s="112"/>
      <c r="G31" s="858"/>
      <c r="H31" s="858"/>
      <c r="I31" s="115"/>
    </row>
    <row r="32" spans="1:9" ht="15.75">
      <c r="A32" s="110"/>
      <c r="B32" s="856"/>
      <c r="C32" s="857"/>
      <c r="D32" s="857"/>
      <c r="E32" s="857"/>
      <c r="F32" s="116"/>
      <c r="G32" s="858"/>
      <c r="H32" s="858"/>
      <c r="I32" s="115"/>
    </row>
    <row r="33" spans="1:9" ht="15.75">
      <c r="A33" s="110"/>
      <c r="B33" s="857"/>
      <c r="C33" s="857"/>
      <c r="D33" s="857"/>
      <c r="E33" s="857"/>
      <c r="F33" s="112"/>
      <c r="G33" s="858"/>
      <c r="H33" s="858"/>
      <c r="I33" s="115"/>
    </row>
    <row r="34" spans="1:9" ht="15.75">
      <c r="A34" s="110"/>
      <c r="B34" s="860"/>
      <c r="C34" s="857"/>
      <c r="D34" s="857"/>
      <c r="E34" s="857"/>
      <c r="F34" s="112"/>
      <c r="G34" s="858"/>
      <c r="H34" s="859"/>
      <c r="I34" s="115"/>
    </row>
    <row r="35" spans="1:9" ht="13.5" thickBot="1">
      <c r="A35" s="117"/>
      <c r="B35" s="832"/>
      <c r="C35" s="832"/>
      <c r="D35" s="832"/>
      <c r="E35" s="832"/>
      <c r="F35" s="118"/>
      <c r="G35" s="119"/>
      <c r="H35" s="118"/>
      <c r="I35" s="120"/>
    </row>
  </sheetData>
  <mergeCells count="36">
    <mergeCell ref="B32:E33"/>
    <mergeCell ref="G33:G34"/>
    <mergeCell ref="H33:H34"/>
    <mergeCell ref="B34:E35"/>
    <mergeCell ref="G31:G32"/>
    <mergeCell ref="H31:H32"/>
    <mergeCell ref="I26:I27"/>
    <mergeCell ref="E26:E27"/>
    <mergeCell ref="B22:D22"/>
    <mergeCell ref="B23:D23"/>
    <mergeCell ref="B25:D25"/>
    <mergeCell ref="H26:H27"/>
    <mergeCell ref="F26:F27"/>
    <mergeCell ref="G26:G27"/>
    <mergeCell ref="A26:D27"/>
    <mergeCell ref="B15:D15"/>
    <mergeCell ref="A5:I5"/>
    <mergeCell ref="A9:A10"/>
    <mergeCell ref="A6:C6"/>
    <mergeCell ref="B24:D24"/>
    <mergeCell ref="D6:F6"/>
    <mergeCell ref="G6:I6"/>
    <mergeCell ref="B16:D16"/>
    <mergeCell ref="B17:D17"/>
    <mergeCell ref="B18:D18"/>
    <mergeCell ref="B19:D19"/>
    <mergeCell ref="B20:D20"/>
    <mergeCell ref="B21:D21"/>
    <mergeCell ref="A1:I1"/>
    <mergeCell ref="B12:D12"/>
    <mergeCell ref="B14:D14"/>
    <mergeCell ref="B9:D10"/>
    <mergeCell ref="B11:D11"/>
    <mergeCell ref="A7:I8"/>
    <mergeCell ref="A3:I4"/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M35"/>
  <sheetViews>
    <sheetView workbookViewId="0">
      <selection activeCell="N19" sqref="N19"/>
    </sheetView>
  </sheetViews>
  <sheetFormatPr defaultColWidth="9.140625" defaultRowHeight="12.75"/>
  <cols>
    <col min="1" max="1" width="11.7109375" style="44" customWidth="1"/>
    <col min="2" max="2" width="37.42578125" style="44" customWidth="1"/>
    <col min="3" max="4" width="8" style="44" customWidth="1"/>
    <col min="5" max="5" width="15.7109375" style="44" customWidth="1"/>
    <col min="6" max="6" width="8" style="44" customWidth="1"/>
    <col min="7" max="8" width="15.5703125" style="44" customWidth="1"/>
    <col min="9" max="9" width="19.85546875" style="44" customWidth="1"/>
    <col min="10" max="16384" width="9.140625" style="44"/>
  </cols>
  <sheetData>
    <row r="1" spans="1:13" ht="15.75">
      <c r="A1" s="884" t="s">
        <v>98</v>
      </c>
      <c r="B1" s="885"/>
      <c r="C1" s="885"/>
      <c r="D1" s="885"/>
      <c r="E1" s="885"/>
      <c r="F1" s="885"/>
      <c r="G1" s="885"/>
      <c r="H1" s="885"/>
      <c r="I1" s="886"/>
    </row>
    <row r="2" spans="1:13" ht="16.5" thickBot="1">
      <c r="A2" s="896" t="str">
        <f>BDI!A2</f>
        <v>BAIRRO : MARIA ISABEL</v>
      </c>
      <c r="B2" s="897"/>
      <c r="C2" s="897"/>
      <c r="D2" s="897"/>
      <c r="E2" s="897"/>
      <c r="F2" s="897"/>
      <c r="G2" s="897"/>
      <c r="H2" s="897"/>
      <c r="I2" s="898"/>
    </row>
    <row r="3" spans="1:13" ht="14.25" customHeight="1">
      <c r="A3" s="817" t="str">
        <f>BDI!A3</f>
        <v>Av. Manoel Eleoterio de Campos, Rua Ana Candida de Oliveira, Rua Aveiro, Rua Bahia, Rua Caldas da Rainha, Rua Covilha, Rua Ernani e Lopes, Rua Figueira da Foz, Rua Guarda, Rua Porto, Rua Porto Alegre, Rua Santarém, Rua Sem Nome, Rua Setubal, Rua Viseu e Travessa da Praça</v>
      </c>
      <c r="B3" s="818"/>
      <c r="C3" s="818"/>
      <c r="D3" s="818"/>
      <c r="E3" s="818"/>
      <c r="F3" s="818"/>
      <c r="G3" s="818"/>
      <c r="H3" s="818"/>
      <c r="I3" s="819"/>
    </row>
    <row r="4" spans="1:13" ht="10.5" customHeight="1">
      <c r="A4" s="820"/>
      <c r="B4" s="821"/>
      <c r="C4" s="821"/>
      <c r="D4" s="821"/>
      <c r="E4" s="821"/>
      <c r="F4" s="821"/>
      <c r="G4" s="821"/>
      <c r="H4" s="821"/>
      <c r="I4" s="822"/>
    </row>
    <row r="5" spans="1:13" ht="12" customHeight="1">
      <c r="A5" s="899" t="str">
        <f>QUANT!B6</f>
        <v>OBRA: Pavimentação de Vias Urbanas</v>
      </c>
      <c r="B5" s="900"/>
      <c r="C5" s="900"/>
      <c r="D5" s="900"/>
      <c r="E5" s="900"/>
      <c r="F5" s="900"/>
      <c r="G5" s="900"/>
      <c r="H5" s="900"/>
      <c r="I5" s="901"/>
    </row>
    <row r="6" spans="1:13" ht="13.5" thickBot="1">
      <c r="A6" s="902" t="s">
        <v>97</v>
      </c>
      <c r="B6" s="866"/>
      <c r="C6" s="866"/>
      <c r="D6" s="903"/>
      <c r="E6" s="866"/>
      <c r="F6" s="866"/>
      <c r="G6" s="903"/>
      <c r="H6" s="866"/>
      <c r="I6" s="904"/>
    </row>
    <row r="7" spans="1:13" ht="16.5" customHeight="1">
      <c r="A7" s="811" t="s">
        <v>251</v>
      </c>
      <c r="B7" s="812"/>
      <c r="C7" s="812"/>
      <c r="D7" s="812"/>
      <c r="E7" s="812"/>
      <c r="F7" s="812"/>
      <c r="G7" s="812"/>
      <c r="H7" s="812"/>
      <c r="I7" s="813"/>
    </row>
    <row r="8" spans="1:13" ht="16.5" customHeight="1" thickBot="1">
      <c r="A8" s="814"/>
      <c r="B8" s="815"/>
      <c r="C8" s="815"/>
      <c r="D8" s="815"/>
      <c r="E8" s="815"/>
      <c r="F8" s="815"/>
      <c r="G8" s="815"/>
      <c r="H8" s="815"/>
      <c r="I8" s="816"/>
    </row>
    <row r="9" spans="1:13" ht="15">
      <c r="A9" s="829" t="s">
        <v>37</v>
      </c>
      <c r="B9" s="802" t="s">
        <v>0</v>
      </c>
      <c r="C9" s="888"/>
      <c r="D9" s="889"/>
      <c r="E9" s="18" t="s">
        <v>82</v>
      </c>
      <c r="F9" s="18" t="s">
        <v>83</v>
      </c>
      <c r="G9" s="18" t="s">
        <v>84</v>
      </c>
      <c r="H9" s="18" t="s">
        <v>85</v>
      </c>
      <c r="I9" s="19" t="s">
        <v>86</v>
      </c>
    </row>
    <row r="10" spans="1:13" ht="15.75" thickBot="1">
      <c r="A10" s="887"/>
      <c r="B10" s="890"/>
      <c r="C10" s="891"/>
      <c r="D10" s="892"/>
      <c r="E10" s="20" t="s">
        <v>87</v>
      </c>
      <c r="F10" s="20" t="s">
        <v>88</v>
      </c>
      <c r="G10" s="20" t="s">
        <v>88</v>
      </c>
      <c r="H10" s="20" t="s">
        <v>88</v>
      </c>
      <c r="I10" s="21" t="s">
        <v>88</v>
      </c>
    </row>
    <row r="11" spans="1:13" ht="15">
      <c r="A11" s="13" t="s">
        <v>50</v>
      </c>
      <c r="B11" s="893" t="s">
        <v>89</v>
      </c>
      <c r="C11" s="894"/>
      <c r="D11" s="895"/>
      <c r="E11" s="14">
        <f>SUM(E12:E15)</f>
        <v>5.63</v>
      </c>
      <c r="F11" s="14"/>
      <c r="G11" s="15"/>
      <c r="H11" s="16"/>
      <c r="I11" s="17"/>
    </row>
    <row r="12" spans="1:13" ht="15">
      <c r="A12" s="6" t="s">
        <v>51</v>
      </c>
      <c r="B12" s="872" t="s">
        <v>90</v>
      </c>
      <c r="C12" s="873"/>
      <c r="D12" s="874"/>
      <c r="E12" s="3">
        <v>3.45</v>
      </c>
      <c r="F12" s="3"/>
      <c r="G12" s="3"/>
      <c r="H12" s="4"/>
      <c r="I12" s="5"/>
      <c r="M12" s="55"/>
    </row>
    <row r="13" spans="1:13" s="55" customFormat="1" ht="15">
      <c r="A13" s="48" t="s">
        <v>52</v>
      </c>
      <c r="B13" s="49" t="s">
        <v>139</v>
      </c>
      <c r="C13" s="50"/>
      <c r="D13" s="51"/>
      <c r="E13" s="52">
        <v>0.48</v>
      </c>
      <c r="F13" s="52"/>
      <c r="G13" s="52"/>
      <c r="H13" s="53"/>
      <c r="I13" s="54"/>
    </row>
    <row r="14" spans="1:13" ht="15">
      <c r="A14" s="6" t="s">
        <v>91</v>
      </c>
      <c r="B14" s="872" t="s">
        <v>80</v>
      </c>
      <c r="C14" s="873"/>
      <c r="D14" s="874"/>
      <c r="E14" s="3">
        <v>0.85</v>
      </c>
      <c r="F14" s="3"/>
      <c r="G14" s="3"/>
      <c r="H14" s="4"/>
      <c r="I14" s="5"/>
    </row>
    <row r="15" spans="1:13" ht="15">
      <c r="A15" s="6" t="s">
        <v>138</v>
      </c>
      <c r="B15" s="872" t="s">
        <v>79</v>
      </c>
      <c r="C15" s="873"/>
      <c r="D15" s="874"/>
      <c r="E15" s="3">
        <v>0.85</v>
      </c>
      <c r="F15" s="3"/>
      <c r="G15" s="3"/>
      <c r="H15" s="4"/>
      <c r="I15" s="5"/>
    </row>
    <row r="16" spans="1:13" ht="15">
      <c r="A16" s="56"/>
      <c r="B16" s="877"/>
      <c r="C16" s="878"/>
      <c r="D16" s="879"/>
      <c r="E16" s="57"/>
      <c r="F16" s="58"/>
      <c r="G16" s="57"/>
      <c r="H16" s="59"/>
      <c r="I16" s="60"/>
    </row>
    <row r="17" spans="1:9" ht="15">
      <c r="A17" s="1" t="s">
        <v>38</v>
      </c>
      <c r="B17" s="880" t="s">
        <v>92</v>
      </c>
      <c r="C17" s="873"/>
      <c r="D17" s="874"/>
      <c r="E17" s="2">
        <f>E18</f>
        <v>5.1100000000000003</v>
      </c>
      <c r="F17" s="2"/>
      <c r="G17" s="3"/>
      <c r="H17" s="4"/>
      <c r="I17" s="5"/>
    </row>
    <row r="18" spans="1:9" ht="15">
      <c r="A18" s="6" t="s">
        <v>49</v>
      </c>
      <c r="B18" s="872" t="s">
        <v>93</v>
      </c>
      <c r="C18" s="873"/>
      <c r="D18" s="874"/>
      <c r="E18" s="3">
        <v>5.1100000000000003</v>
      </c>
      <c r="F18" s="3"/>
      <c r="G18" s="3"/>
      <c r="H18" s="4"/>
      <c r="I18" s="5"/>
    </row>
    <row r="19" spans="1:9" ht="15">
      <c r="A19" s="61"/>
      <c r="B19" s="881"/>
      <c r="C19" s="882"/>
      <c r="D19" s="883"/>
      <c r="E19" s="62"/>
      <c r="F19" s="63"/>
      <c r="G19" s="62"/>
      <c r="H19" s="64"/>
      <c r="I19" s="65"/>
    </row>
    <row r="20" spans="1:9" ht="15">
      <c r="A20" s="1" t="s">
        <v>39</v>
      </c>
      <c r="B20" s="880" t="s">
        <v>94</v>
      </c>
      <c r="C20" s="873"/>
      <c r="D20" s="874"/>
      <c r="E20" s="2">
        <f>E21+E22+E24+E23</f>
        <v>3.65</v>
      </c>
      <c r="F20" s="2"/>
      <c r="G20" s="3"/>
      <c r="H20" s="7"/>
      <c r="I20" s="5"/>
    </row>
    <row r="21" spans="1:9" ht="15">
      <c r="A21" s="6" t="s">
        <v>47</v>
      </c>
      <c r="B21" s="872" t="s">
        <v>140</v>
      </c>
      <c r="C21" s="873"/>
      <c r="D21" s="874"/>
      <c r="E21" s="22">
        <v>0.65</v>
      </c>
      <c r="F21" s="3"/>
      <c r="G21" s="3"/>
      <c r="H21" s="7"/>
      <c r="I21" s="5"/>
    </row>
    <row r="22" spans="1:9" ht="15">
      <c r="A22" s="6" t="s">
        <v>40</v>
      </c>
      <c r="B22" s="872" t="s">
        <v>141</v>
      </c>
      <c r="C22" s="873"/>
      <c r="D22" s="874"/>
      <c r="E22" s="3">
        <v>3</v>
      </c>
      <c r="F22" s="3"/>
      <c r="G22" s="3"/>
      <c r="H22" s="7"/>
      <c r="I22" s="5"/>
    </row>
    <row r="23" spans="1:9" ht="15">
      <c r="A23" s="6" t="s">
        <v>56</v>
      </c>
      <c r="B23" s="872" t="s">
        <v>142</v>
      </c>
      <c r="C23" s="875"/>
      <c r="D23" s="876"/>
      <c r="E23" s="3">
        <v>0</v>
      </c>
      <c r="F23" s="3"/>
      <c r="G23" s="3"/>
      <c r="H23" s="7"/>
      <c r="I23" s="5"/>
    </row>
    <row r="24" spans="1:9" ht="15">
      <c r="A24" s="6" t="s">
        <v>57</v>
      </c>
      <c r="B24" s="872" t="s">
        <v>81</v>
      </c>
      <c r="C24" s="873"/>
      <c r="D24" s="874"/>
      <c r="E24" s="3">
        <v>0</v>
      </c>
      <c r="F24" s="3"/>
      <c r="G24" s="3"/>
      <c r="H24" s="4"/>
      <c r="I24" s="5"/>
    </row>
    <row r="25" spans="1:9">
      <c r="A25" s="6"/>
      <c r="B25" s="880" t="s">
        <v>95</v>
      </c>
      <c r="C25" s="873"/>
      <c r="D25" s="874"/>
      <c r="E25" s="8"/>
      <c r="F25" s="8"/>
      <c r="G25" s="9"/>
      <c r="H25" s="10"/>
      <c r="I25" s="11"/>
    </row>
    <row r="26" spans="1:9">
      <c r="A26" s="850" t="s">
        <v>96</v>
      </c>
      <c r="B26" s="867"/>
      <c r="C26" s="867"/>
      <c r="D26" s="868"/>
      <c r="E26" s="844">
        <f>TRUNC(((((1+((E12+E13+E14)/100))*(1+((E15)/100))*(1+((E17/100)))/(1-((E21+E22+E23+E24)/100)))-1)),4)</f>
        <v>0.1527</v>
      </c>
      <c r="F26" s="848"/>
      <c r="G26" s="848"/>
      <c r="H26" s="848"/>
      <c r="I26" s="842">
        <v>0</v>
      </c>
    </row>
    <row r="27" spans="1:9" ht="23.25" customHeight="1" thickBot="1">
      <c r="A27" s="869"/>
      <c r="B27" s="870"/>
      <c r="C27" s="870"/>
      <c r="D27" s="871"/>
      <c r="E27" s="862"/>
      <c r="F27" s="863"/>
      <c r="G27" s="863"/>
      <c r="H27" s="863"/>
      <c r="I27" s="861"/>
    </row>
    <row r="28" spans="1:9">
      <c r="A28" s="45"/>
      <c r="B28" s="31"/>
      <c r="C28" s="31"/>
      <c r="D28" s="31"/>
      <c r="E28" s="31"/>
      <c r="F28" s="32"/>
      <c r="G28" s="32"/>
      <c r="H28" s="32"/>
      <c r="I28" s="33"/>
    </row>
    <row r="29" spans="1:9" ht="12.75" customHeight="1">
      <c r="A29" s="46" t="s">
        <v>143</v>
      </c>
      <c r="B29" s="34"/>
      <c r="C29" s="12"/>
      <c r="D29" s="12"/>
      <c r="E29" s="12"/>
      <c r="F29" s="23"/>
      <c r="G29" s="25"/>
      <c r="H29" s="23"/>
      <c r="I29" s="24"/>
    </row>
    <row r="30" spans="1:9">
      <c r="A30" s="46"/>
      <c r="B30" s="12"/>
      <c r="C30" s="12"/>
      <c r="D30" s="12"/>
      <c r="E30" s="12"/>
      <c r="F30" s="23"/>
      <c r="G30" s="23"/>
      <c r="H30" s="23"/>
      <c r="I30" s="24"/>
    </row>
    <row r="31" spans="1:9" ht="15.75">
      <c r="A31" s="46"/>
      <c r="B31" s="12"/>
      <c r="C31" s="12"/>
      <c r="D31" s="12"/>
      <c r="E31" s="12"/>
      <c r="F31" s="23"/>
      <c r="G31" s="858"/>
      <c r="H31" s="858"/>
      <c r="I31" s="26"/>
    </row>
    <row r="32" spans="1:9" ht="15.75">
      <c r="A32" s="46"/>
      <c r="B32" s="856"/>
      <c r="C32" s="864"/>
      <c r="D32" s="864"/>
      <c r="E32" s="864"/>
      <c r="F32" s="27"/>
      <c r="G32" s="858"/>
      <c r="H32" s="858"/>
      <c r="I32" s="26"/>
    </row>
    <row r="33" spans="1:9" ht="15.75">
      <c r="A33" s="46"/>
      <c r="B33" s="864"/>
      <c r="C33" s="864"/>
      <c r="D33" s="864"/>
      <c r="E33" s="864"/>
      <c r="F33" s="23"/>
      <c r="G33" s="858"/>
      <c r="H33" s="858"/>
      <c r="I33" s="26"/>
    </row>
    <row r="34" spans="1:9" ht="15.75">
      <c r="A34" s="46"/>
      <c r="B34" s="860"/>
      <c r="C34" s="864"/>
      <c r="D34" s="864"/>
      <c r="E34" s="864"/>
      <c r="F34" s="23"/>
      <c r="G34" s="858"/>
      <c r="H34" s="865"/>
      <c r="I34" s="26"/>
    </row>
    <row r="35" spans="1:9" ht="13.5" thickBot="1">
      <c r="A35" s="47"/>
      <c r="B35" s="866"/>
      <c r="C35" s="866"/>
      <c r="D35" s="866"/>
      <c r="E35" s="866"/>
      <c r="F35" s="29"/>
      <c r="G35" s="28"/>
      <c r="H35" s="29"/>
      <c r="I35" s="30"/>
    </row>
  </sheetData>
  <mergeCells count="36">
    <mergeCell ref="B25:D25"/>
    <mergeCell ref="A1:I1"/>
    <mergeCell ref="A9:A10"/>
    <mergeCell ref="B9:D10"/>
    <mergeCell ref="B11:D11"/>
    <mergeCell ref="B12:D12"/>
    <mergeCell ref="A2:I2"/>
    <mergeCell ref="A7:I8"/>
    <mergeCell ref="A5:I5"/>
    <mergeCell ref="A3:I4"/>
    <mergeCell ref="A6:C6"/>
    <mergeCell ref="D6:F6"/>
    <mergeCell ref="G6:I6"/>
    <mergeCell ref="B14:D14"/>
    <mergeCell ref="B24:D24"/>
    <mergeCell ref="B21:D21"/>
    <mergeCell ref="B22:D22"/>
    <mergeCell ref="B23:D23"/>
    <mergeCell ref="B16:D16"/>
    <mergeCell ref="B15:D15"/>
    <mergeCell ref="B17:D17"/>
    <mergeCell ref="B18:D18"/>
    <mergeCell ref="B19:D19"/>
    <mergeCell ref="B20:D20"/>
    <mergeCell ref="I26:I27"/>
    <mergeCell ref="E26:E27"/>
    <mergeCell ref="F26:F27"/>
    <mergeCell ref="G31:G32"/>
    <mergeCell ref="H31:H32"/>
    <mergeCell ref="B32:E33"/>
    <mergeCell ref="G33:G34"/>
    <mergeCell ref="H33:H34"/>
    <mergeCell ref="B34:E35"/>
    <mergeCell ref="G26:G27"/>
    <mergeCell ref="A26:D27"/>
    <mergeCell ref="H26:H2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</vt:i4>
      </vt:variant>
    </vt:vector>
  </HeadingPairs>
  <TitlesOfParts>
    <vt:vector size="18" baseType="lpstr">
      <vt:lpstr>RESUMO</vt:lpstr>
      <vt:lpstr>QUANT</vt:lpstr>
      <vt:lpstr>ORÇA </vt:lpstr>
      <vt:lpstr>TRANSP</vt:lpstr>
      <vt:lpstr>CFF</vt:lpstr>
      <vt:lpstr>MEMORIAL DE CALCULO</vt:lpstr>
      <vt:lpstr>TERRAP E PAVIM</vt:lpstr>
      <vt:lpstr>BDI</vt:lpstr>
      <vt:lpstr>BDI DIFERENCIADO</vt:lpstr>
      <vt:lpstr>SN HOR</vt:lpstr>
      <vt:lpstr>SN VERT</vt:lpstr>
      <vt:lpstr>ALUGUEL</vt:lpstr>
      <vt:lpstr>COMP.</vt:lpstr>
      <vt:lpstr>REAJUSTAMENTO</vt:lpstr>
      <vt:lpstr>'ORÇA '!Area_de_impressao</vt:lpstr>
      <vt:lpstr>QUANT!Area_de_impressao</vt:lpstr>
      <vt:lpstr>'ORÇA '!Titulos_de_impressao</vt:lpstr>
      <vt:lpstr>QUANT!Titulos_de_impressao</vt:lpstr>
    </vt:vector>
  </TitlesOfParts>
  <Company>ECP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ECP</dc:creator>
  <cp:lastModifiedBy>Aline Arantes Correa</cp:lastModifiedBy>
  <cp:lastPrinted>2019-05-22T17:54:48Z</cp:lastPrinted>
  <dcterms:created xsi:type="dcterms:W3CDTF">1997-03-06T18:55:11Z</dcterms:created>
  <dcterms:modified xsi:type="dcterms:W3CDTF">2022-02-09T12:08:46Z</dcterms:modified>
</cp:coreProperties>
</file>